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edroMendoza\Documents\"/>
    </mc:Choice>
  </mc:AlternateContent>
  <xr:revisionPtr revIDLastSave="0" documentId="13_ncr:1_{80A2B111-D608-4A66-9F0F-5CAD592112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P 2025-2028" sheetId="2" r:id="rId1"/>
    <sheet name="TAM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2" l="1"/>
  <c r="D65" i="2"/>
  <c r="C65" i="2"/>
  <c r="B65" i="2"/>
  <c r="B58" i="2"/>
  <c r="E47" i="2"/>
  <c r="E49" i="2" s="1"/>
  <c r="D47" i="2"/>
  <c r="D49" i="2" s="1"/>
  <c r="C47" i="2"/>
  <c r="F46" i="2"/>
  <c r="E39" i="2"/>
  <c r="E40" i="2" s="1"/>
  <c r="E41" i="2" s="1"/>
  <c r="E42" i="2" s="1"/>
  <c r="D39" i="2"/>
  <c r="C39" i="2"/>
  <c r="B39" i="2"/>
  <c r="B40" i="2" s="1"/>
  <c r="B41" i="2" s="1"/>
  <c r="F33" i="2"/>
  <c r="F32" i="2"/>
  <c r="B32" i="2"/>
  <c r="B22" i="2" s="1"/>
  <c r="F31" i="2"/>
  <c r="F30" i="2"/>
  <c r="F29" i="2"/>
  <c r="F28" i="2"/>
  <c r="F27" i="2"/>
  <c r="F26" i="2"/>
  <c r="F25" i="2"/>
  <c r="F24" i="2"/>
  <c r="E22" i="2"/>
  <c r="D22" i="2"/>
  <c r="C22" i="2"/>
  <c r="R11" i="2"/>
  <c r="R10" i="2"/>
  <c r="E72" i="2" s="1"/>
  <c r="R9" i="2"/>
  <c r="B71" i="2" s="1"/>
  <c r="R8" i="2"/>
  <c r="E70" i="2" s="1"/>
  <c r="R7" i="2"/>
  <c r="R6" i="2"/>
  <c r="J6" i="2"/>
  <c r="J7" i="2" s="1"/>
  <c r="R5" i="2"/>
  <c r="I37" i="1"/>
  <c r="I36" i="1"/>
  <c r="J36" i="1" s="1"/>
  <c r="K36" i="1" s="1"/>
  <c r="L36" i="1" s="1"/>
  <c r="K35" i="1"/>
  <c r="L35" i="1" s="1"/>
  <c r="J35" i="1"/>
  <c r="I35" i="1"/>
  <c r="I34" i="1"/>
  <c r="J34" i="1" s="1"/>
  <c r="K34" i="1" s="1"/>
  <c r="L34" i="1" s="1"/>
  <c r="K33" i="1"/>
  <c r="L33" i="1" s="1"/>
  <c r="J33" i="1"/>
  <c r="I33" i="1"/>
  <c r="I32" i="1"/>
  <c r="J32" i="1" s="1"/>
  <c r="K32" i="1" s="1"/>
  <c r="L32" i="1" s="1"/>
  <c r="K31" i="1"/>
  <c r="L31" i="1" s="1"/>
  <c r="J31" i="1"/>
  <c r="I31" i="1"/>
  <c r="I30" i="1"/>
  <c r="J30" i="1" s="1"/>
  <c r="D25" i="1"/>
  <c r="D24" i="1"/>
  <c r="D23" i="1"/>
  <c r="D22" i="1"/>
  <c r="D21" i="1"/>
  <c r="D20" i="1"/>
  <c r="D19" i="1"/>
  <c r="D18" i="1"/>
  <c r="D17" i="1"/>
  <c r="D16" i="1"/>
  <c r="D15" i="1"/>
  <c r="D14" i="1"/>
  <c r="B5" i="1"/>
  <c r="B54" i="2" s="1"/>
  <c r="F47" i="2" l="1"/>
  <c r="B69" i="2"/>
  <c r="C40" i="2"/>
  <c r="C41" i="2" s="1"/>
  <c r="C42" i="2" s="1"/>
  <c r="C49" i="2"/>
  <c r="F49" i="2" s="1"/>
  <c r="F22" i="2"/>
  <c r="F39" i="2"/>
  <c r="C69" i="2"/>
  <c r="B14" i="2" s="1"/>
  <c r="E44" i="2"/>
  <c r="E43" i="2"/>
  <c r="E52" i="2"/>
  <c r="B59" i="2"/>
  <c r="C54" i="2"/>
  <c r="B42" i="2"/>
  <c r="J37" i="1"/>
  <c r="K30" i="1"/>
  <c r="C44" i="2"/>
  <c r="C43" i="2"/>
  <c r="D69" i="2"/>
  <c r="D71" i="2"/>
  <c r="E69" i="2"/>
  <c r="E71" i="2"/>
  <c r="D40" i="2"/>
  <c r="D41" i="2" s="1"/>
  <c r="D42" i="2" s="1"/>
  <c r="B70" i="2"/>
  <c r="B72" i="2"/>
  <c r="C70" i="2"/>
  <c r="C72" i="2"/>
  <c r="B7" i="1"/>
  <c r="D70" i="2"/>
  <c r="D72" i="2"/>
  <c r="C71" i="2"/>
  <c r="C68" i="2" l="1"/>
  <c r="B68" i="2"/>
  <c r="C52" i="2"/>
  <c r="C57" i="2" s="1"/>
  <c r="F42" i="2"/>
  <c r="B52" i="2"/>
  <c r="B44" i="2"/>
  <c r="B43" i="2"/>
  <c r="D44" i="2"/>
  <c r="D52" i="2"/>
  <c r="D43" i="2"/>
  <c r="F40" i="2"/>
  <c r="E68" i="2"/>
  <c r="E57" i="2"/>
  <c r="C59" i="2"/>
  <c r="D54" i="2"/>
  <c r="L30" i="1"/>
  <c r="K37" i="1"/>
  <c r="L37" i="1" s="1"/>
  <c r="D68" i="2"/>
  <c r="F41" i="2"/>
  <c r="D59" i="2" l="1"/>
  <c r="E54" i="2"/>
  <c r="E59" i="2" s="1"/>
  <c r="D57" i="2"/>
  <c r="B57" i="2"/>
  <c r="C53" i="2"/>
  <c r="F52" i="2"/>
  <c r="B51" i="2"/>
  <c r="F54" i="2" l="1"/>
  <c r="F59" i="2"/>
  <c r="C58" i="2"/>
  <c r="D53" i="2"/>
  <c r="C51" i="2"/>
  <c r="C55" i="2" s="1"/>
  <c r="B56" i="2"/>
  <c r="F57" i="2"/>
  <c r="B67" i="2" l="1"/>
  <c r="B61" i="2"/>
  <c r="D58" i="2"/>
  <c r="D56" i="2" s="1"/>
  <c r="E53" i="2"/>
  <c r="D51" i="2"/>
  <c r="D55" i="2" s="1"/>
  <c r="C56" i="2"/>
  <c r="B73" i="2" l="1"/>
  <c r="B64" i="2" s="1"/>
  <c r="B74" i="2" s="1"/>
  <c r="C61" i="2"/>
  <c r="C67" i="2"/>
  <c r="C60" i="2"/>
  <c r="E58" i="2"/>
  <c r="E51" i="2"/>
  <c r="E55" i="2" s="1"/>
  <c r="D61" i="2"/>
  <c r="D60" i="2"/>
  <c r="D67" i="2"/>
  <c r="F53" i="2"/>
  <c r="D73" i="2" l="1"/>
  <c r="D64" i="2" s="1"/>
  <c r="D74" i="2" s="1"/>
  <c r="D75" i="2" s="1"/>
  <c r="C73" i="2"/>
  <c r="C64" i="2" s="1"/>
  <c r="C63" i="2" s="1"/>
  <c r="E56" i="2"/>
  <c r="F58" i="2"/>
  <c r="B75" i="2"/>
  <c r="F51" i="2"/>
  <c r="C74" i="2" l="1"/>
  <c r="D63" i="2"/>
  <c r="E60" i="2"/>
  <c r="E67" i="2"/>
  <c r="E61" i="2"/>
  <c r="E73" i="2" s="1"/>
  <c r="E64" i="2" s="1"/>
  <c r="F56" i="2"/>
  <c r="E63" i="2" l="1"/>
  <c r="F64" i="2"/>
  <c r="C75" i="2"/>
  <c r="E74" i="2"/>
  <c r="F61" i="2"/>
  <c r="E75" i="2" l="1"/>
  <c r="F7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5" authorId="0" shapeId="0" xr:uid="{00000000-0006-0000-0100-000001000000}">
      <text>
        <r>
          <rPr>
            <sz val="10"/>
            <color rgb="FF000000"/>
            <rFont val="Arial"/>
            <scheme val="minor"/>
          </rPr>
          <t>le temps de Pedro et Melissa
	-Melissa Sanchot
----
le temps de Eddy
	-Melissa Sanchot
on le met?
	-Melissa Sanchot</t>
        </r>
      </text>
    </comment>
  </commentList>
</comments>
</file>

<file path=xl/sharedStrings.xml><?xml version="1.0" encoding="utf-8"?>
<sst xmlns="http://schemas.openxmlformats.org/spreadsheetml/2006/main" count="159" uniqueCount="148">
  <si>
    <t>HYPOTHÈSES TAM</t>
  </si>
  <si>
    <t>INCREMENTAL BASE ACTUELLE</t>
  </si>
  <si>
    <t>Volume billetterie HA projeté 2025 (M€)</t>
  </si>
  <si>
    <t>Incrémental estimé</t>
  </si>
  <si>
    <t>+1%</t>
  </si>
  <si>
    <t>hypothèse de 1% d'incrémental billetterie via cette version Biletterie +</t>
  </si>
  <si>
    <t>% CV billetterie</t>
  </si>
  <si>
    <r>
      <rPr>
        <b/>
        <i/>
        <sz val="9"/>
        <color theme="1"/>
        <rFont val="Arial"/>
      </rPr>
      <t>Ne correspond pas au 2,9% projeté sur 2025, car parcours check out</t>
    </r>
    <r>
      <rPr>
        <i/>
        <sz val="6"/>
        <color theme="1"/>
        <rFont val="Arial"/>
      </rPr>
      <t xml:space="preserve"> cf https://docs.google.com/spreadsheets/d/1S9BQU0PnAuaXQtQ0QivKpTbnrNzxZwi19GtefjkgogA/edit?usp=sharing. </t>
    </r>
  </si>
  <si>
    <t>REVENU INCREMENTAL (€)</t>
  </si>
  <si>
    <t xml:space="preserve">POTENTIEL MARCHÉ PAR SECTEURS </t>
  </si>
  <si>
    <t>SUR LA BASE DES 50 PLUS GROSSES CAMPAGNES DE BILLETTERIE HELLOASSO 2024</t>
  </si>
  <si>
    <t>SECTEUR</t>
  </si>
  <si>
    <t>VOLUME COLLECTE</t>
  </si>
  <si>
    <t>CV</t>
  </si>
  <si>
    <t>Tx CV</t>
  </si>
  <si>
    <t>Arts et culture</t>
  </si>
  <si>
    <t>Autres</t>
  </si>
  <si>
    <t>Club de loisirs et amicales</t>
  </si>
  <si>
    <t>Éducation et formation</t>
  </si>
  <si>
    <t>Environnement</t>
  </si>
  <si>
    <t>Étudiante</t>
  </si>
  <si>
    <t>Humanitaire - Caritative</t>
  </si>
  <si>
    <t>Professionnelle</t>
  </si>
  <si>
    <t>Recherche et sciences</t>
  </si>
  <si>
    <t>Religion et spiritualité</t>
  </si>
  <si>
    <t>Sports</t>
  </si>
  <si>
    <t>Total général</t>
  </si>
  <si>
    <t>données marché secteur</t>
  </si>
  <si>
    <t>TAILLE MARCHÉ ASSO</t>
  </si>
  <si>
    <t>TAILLE MARCHÉ BILLETTERIE &gt;100K</t>
  </si>
  <si>
    <t>Total Association</t>
  </si>
  <si>
    <t>Moins de 1K€</t>
  </si>
  <si>
    <t>1 à 10K€</t>
  </si>
  <si>
    <t>10 à 50K€</t>
  </si>
  <si>
    <t>50 à 200K€</t>
  </si>
  <si>
    <t>200 à 500K€</t>
  </si>
  <si>
    <t>Plus de 500K€</t>
  </si>
  <si>
    <t>TAM en nombre assos</t>
  </si>
  <si>
    <t>TAM en nombre assos utilisatrices billetterie</t>
  </si>
  <si>
    <t>TAM en potentiel de collecte</t>
  </si>
  <si>
    <t>TAM en potentiel de revenu</t>
  </si>
  <si>
    <t>Humanitaire, Social, Santé</t>
  </si>
  <si>
    <t>Défense des droits, causes, intérêts</t>
  </si>
  <si>
    <t>Enseignement, formation, insertion</t>
  </si>
  <si>
    <t>Culture</t>
  </si>
  <si>
    <t>Loisirs</t>
  </si>
  <si>
    <t>Activités économiques</t>
  </si>
  <si>
    <t>Ensemble</t>
  </si>
  <si>
    <t>https://docs.google.com/spreadsheets/d/1S9BQU0PnAuaXQtQ0QivKpTbnrNzxZwi19GtefjkgogA/edit?usp=sharing</t>
  </si>
  <si>
    <t>Colonne 1</t>
  </si>
  <si>
    <t>Tx d'utilisation solution Billetterie  (Association active)</t>
  </si>
  <si>
    <t>Arts et Culture</t>
  </si>
  <si>
    <t>Autres catégories</t>
  </si>
  <si>
    <t>Étudiants et Anciens élèves</t>
  </si>
  <si>
    <t>Politique</t>
  </si>
  <si>
    <t>Professionnelles</t>
  </si>
  <si>
    <t>Solidarités</t>
  </si>
  <si>
    <t>HYPOTHÈSES ET TAM</t>
  </si>
  <si>
    <t>COSTS ETP</t>
  </si>
  <si>
    <t>(salaire charge expenses)</t>
  </si>
  <si>
    <t>salaire brut pour info</t>
  </si>
  <si>
    <t>dont bonus</t>
  </si>
  <si>
    <t>Hypothèses de conversion</t>
  </si>
  <si>
    <t>coeur de cible</t>
  </si>
  <si>
    <t>montant collecte année 1</t>
  </si>
  <si>
    <t>En chasse profil culture similaire à ceux des 14 plus grosses collectes de cette année donc 150 000€; mais en lead HA + lead marketing &gt;50 000€</t>
  </si>
  <si>
    <t>SDR</t>
  </si>
  <si>
    <t>Leads &gt; prospect</t>
  </si>
  <si>
    <t>de la liste de prospection à l'obtention d'un rdv pour l'AE</t>
  </si>
  <si>
    <t>montant CV année 1</t>
  </si>
  <si>
    <t>Account Executive junior</t>
  </si>
  <si>
    <t>40+5</t>
  </si>
  <si>
    <t>Prospect &gt; opportunité</t>
  </si>
  <si>
    <t>du rdv pour l'AE à la création d'une opportunité</t>
  </si>
  <si>
    <t>LTV 4 ans</t>
  </si>
  <si>
    <t>Account Executive senior</t>
  </si>
  <si>
    <t>60+20</t>
  </si>
  <si>
    <t>Opportunité &gt; Deal</t>
  </si>
  <si>
    <t>de l'opportunité à la signature du deal</t>
  </si>
  <si>
    <t>Customer Success</t>
  </si>
  <si>
    <t>Marketing Manager</t>
  </si>
  <si>
    <t xml:space="preserve">Hypothèses de capa </t>
  </si>
  <si>
    <t>per month</t>
  </si>
  <si>
    <t>Developpers</t>
  </si>
  <si>
    <t>#lead / SDR</t>
  </si>
  <si>
    <t>founders</t>
  </si>
  <si>
    <t>60+earn out</t>
  </si>
  <si>
    <t>#deal / month / account exec MAX</t>
  </si>
  <si>
    <t>CAC sales</t>
  </si>
  <si>
    <t>CPA paid marketing</t>
  </si>
  <si>
    <t>P&amp;L</t>
  </si>
  <si>
    <t>CUMUL N1-N4</t>
  </si>
  <si>
    <t>comments</t>
  </si>
  <si>
    <t>ETP</t>
  </si>
  <si>
    <t>Sales</t>
  </si>
  <si>
    <t>#SDR</t>
  </si>
  <si>
    <t>#account exec junior</t>
  </si>
  <si>
    <t>#account exec senior</t>
  </si>
  <si>
    <t>#CSM</t>
  </si>
  <si>
    <t>Marketing</t>
  </si>
  <si>
    <t>#marketing manager junior/confirmé</t>
  </si>
  <si>
    <t>T&amp;P</t>
  </si>
  <si>
    <t>#fondateurs developpers</t>
  </si>
  <si>
    <t>année 1 founders rejoignent en S2 seulement</t>
  </si>
  <si>
    <t>#developpers</t>
  </si>
  <si>
    <t>CHIFFRE D'AFFAIRE</t>
  </si>
  <si>
    <t>DEALS</t>
  </si>
  <si>
    <t>Sales funnel</t>
  </si>
  <si>
    <t>#leads from sales</t>
  </si>
  <si>
    <t>#prospects</t>
  </si>
  <si>
    <t>#opportunities</t>
  </si>
  <si>
    <t>#deals signed from sales</t>
  </si>
  <si>
    <t>/mois</t>
  </si>
  <si>
    <t>fyi 18000 campagnes / mois billetterie sur HA et Billetweb (estimation) 10000 campagnes / mois</t>
  </si>
  <si>
    <t>check capa mensuelle AE</t>
  </si>
  <si>
    <t>SaaS funnel</t>
  </si>
  <si>
    <t>#leads organic</t>
  </si>
  <si>
    <t>travail SEO</t>
  </si>
  <si>
    <t>#leads from paid marketing</t>
  </si>
  <si>
    <t>% conversion</t>
  </si>
  <si>
    <t>#deals signed from SaaS</t>
  </si>
  <si>
    <t>VOLUME FLUX</t>
  </si>
  <si>
    <t>billetterie New Deals</t>
  </si>
  <si>
    <t>montée en valeur progressive. N1 cible secondaire (budget intermédiaire) N3 coeur de cible</t>
  </si>
  <si>
    <t>billetterie Old Deals</t>
  </si>
  <si>
    <t>à ce stade pas d'hypothèse de churn ou de croissance, on se dit que ça se compense dans le pire des cas</t>
  </si>
  <si>
    <t>incrémental base HelloAsso</t>
  </si>
  <si>
    <t>anti churn base actuelle, avec hypothèse de croissance de 20% YoY</t>
  </si>
  <si>
    <t>% croissance VT</t>
  </si>
  <si>
    <t>CHIFFRE D'AFFAIRES</t>
  </si>
  <si>
    <t>Contribution Volontaire New Deals</t>
  </si>
  <si>
    <r>
      <rPr>
        <i/>
        <sz val="6"/>
        <rFont val="Arial"/>
      </rPr>
      <t xml:space="preserve">cf </t>
    </r>
    <r>
      <rPr>
        <i/>
        <u/>
        <sz val="6"/>
        <color rgb="FF1155CC"/>
        <rFont val="Arial"/>
      </rPr>
      <t>https://docs.google.com/spreadsheets/d/1S9BQU0PnAuaXQtQ0QivKpTbnrNzxZwi19GtefjkgogA/edit?usp=sharing. Hypothèse que l'on pourra mieux travailler la CV que dans un parcours check out standard donc augmentation de 1,6% à 1,8%.</t>
    </r>
  </si>
  <si>
    <t>Contribution Volontaire Old Deals</t>
  </si>
  <si>
    <t>Contribution Volontaire Base Existante</t>
  </si>
  <si>
    <t>% croissance CA</t>
  </si>
  <si>
    <t>Marge Brute</t>
  </si>
  <si>
    <t>% croissance OPEX</t>
  </si>
  <si>
    <t>OPEX</t>
  </si>
  <si>
    <t>coûts infra</t>
  </si>
  <si>
    <t>Estimation Eddy : Mail 15$ / 25000 (donc dépend du flux) Base de données 500-1000€ Application 250-500€</t>
  </si>
  <si>
    <t>coûts marketing</t>
  </si>
  <si>
    <t>campagnes paid (80% budget) - autres (production de contenu, influence, events, 20% budget)</t>
  </si>
  <si>
    <t>% couts marketing sur CA</t>
  </si>
  <si>
    <t>PEOPLE</t>
  </si>
  <si>
    <t>G&amp;A</t>
  </si>
  <si>
    <t>EBITDA</t>
  </si>
  <si>
    <t>% EBITDA sur CA</t>
  </si>
  <si>
    <t xml:space="preserve">90% du budget marketing en paid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</si>
</sst>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#,##0\ [$€-1]"/>
    <numFmt numFmtId="165" formatCode="#,##0&quot;€&quot;"/>
    <numFmt numFmtId="166" formatCode="_(* #,##0_)\ [$€-1]_);\(#,##0\)\ [$€-1]_);_(* &quot;-&quot;??_)\ [$€-1]_);_(@"/>
    <numFmt numFmtId="167" formatCode="0.0%"/>
    <numFmt numFmtId="168" formatCode="#,##0\ &quot;€&quot;"/>
  </numFmts>
  <fonts count="28" x14ac:knownFonts="1">
    <font>
      <sz val="10"/>
      <color rgb="FF000000"/>
      <name val="Arial"/>
      <scheme val="minor"/>
    </font>
    <font>
      <b/>
      <sz val="24"/>
      <color theme="1"/>
      <name val="Open Sans"/>
    </font>
    <font>
      <sz val="10"/>
      <color theme="1"/>
      <name val="Arial"/>
      <scheme val="minor"/>
    </font>
    <font>
      <b/>
      <sz val="10"/>
      <color rgb="FFFFFFFF"/>
      <name val="Open Sans"/>
    </font>
    <font>
      <sz val="10"/>
      <color theme="1"/>
      <name val="Arial"/>
    </font>
    <font>
      <i/>
      <sz val="10"/>
      <color theme="1"/>
      <name val="Arial"/>
    </font>
    <font>
      <i/>
      <sz val="7"/>
      <color theme="1"/>
      <name val="Arial"/>
    </font>
    <font>
      <i/>
      <sz val="6"/>
      <color theme="1"/>
      <name val="Arial"/>
    </font>
    <font>
      <sz val="10"/>
      <color rgb="FFFFFFFF"/>
      <name val="Arial"/>
    </font>
    <font>
      <b/>
      <sz val="10"/>
      <color theme="1"/>
      <name val="Arial"/>
    </font>
    <font>
      <b/>
      <sz val="10"/>
      <color rgb="FFFFFFFF"/>
      <name val="Arial"/>
      <scheme val="minor"/>
    </font>
    <font>
      <sz val="10"/>
      <name val="Arial"/>
    </font>
    <font>
      <b/>
      <sz val="10"/>
      <color theme="1"/>
      <name val="Open Sans"/>
    </font>
    <font>
      <b/>
      <sz val="10"/>
      <color theme="1"/>
      <name val="Arial"/>
      <scheme val="minor"/>
    </font>
    <font>
      <u/>
      <sz val="10"/>
      <color rgb="FF0000FF"/>
      <name val="Arial"/>
    </font>
    <font>
      <b/>
      <sz val="9"/>
      <color theme="1"/>
      <name val="Open Sans"/>
    </font>
    <font>
      <sz val="9"/>
      <color rgb="FF2D2E5C"/>
      <name val="Open Sans"/>
    </font>
    <font>
      <b/>
      <sz val="9"/>
      <color rgb="FFFFFFFF"/>
      <name val="Open Sans"/>
    </font>
    <font>
      <sz val="10"/>
      <color theme="1"/>
      <name val="Open Sans"/>
    </font>
    <font>
      <i/>
      <sz val="9"/>
      <color theme="1"/>
      <name val="Open Sans"/>
    </font>
    <font>
      <i/>
      <sz val="7"/>
      <color theme="1"/>
      <name val="Open Sans"/>
    </font>
    <font>
      <i/>
      <sz val="8"/>
      <color theme="1"/>
      <name val="Open Sans"/>
    </font>
    <font>
      <i/>
      <sz val="10"/>
      <color rgb="FFFF0000"/>
      <name val="Arial"/>
    </font>
    <font>
      <i/>
      <u/>
      <sz val="6"/>
      <color rgb="FF0000FF"/>
      <name val="Arial"/>
    </font>
    <font>
      <i/>
      <sz val="10"/>
      <color rgb="FFFF0000"/>
      <name val="Open Sans"/>
    </font>
    <font>
      <b/>
      <i/>
      <sz val="9"/>
      <color theme="1"/>
      <name val="Arial"/>
    </font>
    <font>
      <i/>
      <sz val="6"/>
      <name val="Arial"/>
    </font>
    <font>
      <i/>
      <u/>
      <sz val="6"/>
      <color rgb="FF1155CC"/>
      <name val="Arial"/>
    </font>
  </fonts>
  <fills count="11">
    <fill>
      <patternFill patternType="none"/>
    </fill>
    <fill>
      <patternFill patternType="gray125"/>
    </fill>
    <fill>
      <patternFill patternType="solid">
        <fgColor rgb="FF4C40CF"/>
        <bgColor rgb="FF4C40CF"/>
      </patternFill>
    </fill>
    <fill>
      <patternFill patternType="solid">
        <fgColor rgb="FF000000"/>
        <bgColor rgb="FF000000"/>
      </patternFill>
    </fill>
    <fill>
      <patternFill patternType="solid">
        <fgColor rgb="FF373F6B"/>
        <bgColor rgb="FF373F6B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8FAFD"/>
        <bgColor rgb="FFF8FAFD"/>
      </patternFill>
    </fill>
    <fill>
      <patternFill patternType="solid">
        <fgColor rgb="FF2D2E5C"/>
        <bgColor rgb="FF2D2E5C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rgb="FFFFFF00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999999"/>
      </left>
      <right style="thin">
        <color rgb="FFFFFFFF"/>
      </right>
      <top style="thin">
        <color rgb="FF999999"/>
      </top>
      <bottom style="thin">
        <color rgb="FFFFFFFF"/>
      </bottom>
      <diagonal/>
    </border>
    <border>
      <left style="thin">
        <color rgb="FFFFFFFF"/>
      </left>
      <right style="thin">
        <color rgb="FF999999"/>
      </right>
      <top style="thin">
        <color rgb="FF999999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99999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999999"/>
      </right>
      <top style="thin">
        <color rgb="FFFFFFFF"/>
      </top>
      <bottom style="thin">
        <color rgb="FFFFFFFF"/>
      </bottom>
      <diagonal/>
    </border>
    <border>
      <left style="thin">
        <color rgb="FF999999"/>
      </left>
      <right style="thin">
        <color rgb="FFFFFFFF"/>
      </right>
      <top style="thin">
        <color rgb="FFFFFFFF"/>
      </top>
      <bottom style="thin">
        <color rgb="FF999999"/>
      </bottom>
      <diagonal/>
    </border>
    <border>
      <left style="thin">
        <color rgb="FFFFFFFF"/>
      </left>
      <right style="thin">
        <color rgb="FF999999"/>
      </right>
      <top style="thin">
        <color rgb="FFFFFFFF"/>
      </top>
      <bottom style="thin">
        <color rgb="FF999999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292F50"/>
      </left>
      <right style="thin">
        <color rgb="FF373F6B"/>
      </right>
      <top style="thin">
        <color rgb="FF292F50"/>
      </top>
      <bottom style="thin">
        <color rgb="FF292F50"/>
      </bottom>
      <diagonal/>
    </border>
    <border>
      <left style="thin">
        <color rgb="FF373F6B"/>
      </left>
      <right style="thin">
        <color rgb="FF373F6B"/>
      </right>
      <top style="thin">
        <color rgb="FF292F50"/>
      </top>
      <bottom style="thin">
        <color rgb="FF292F50"/>
      </bottom>
      <diagonal/>
    </border>
    <border>
      <left style="thin">
        <color rgb="FF373F6B"/>
      </left>
      <right style="thin">
        <color rgb="FF292F50"/>
      </right>
      <top style="thin">
        <color rgb="FF292F50"/>
      </top>
      <bottom style="thin">
        <color rgb="FF292F50"/>
      </bottom>
      <diagonal/>
    </border>
    <border>
      <left style="thin">
        <color rgb="FF999999"/>
      </left>
      <right style="thin">
        <color rgb="FF999999"/>
      </right>
      <top style="thin">
        <color rgb="FFFFFFFF"/>
      </top>
      <bottom style="thin">
        <color rgb="FFFFFFFF"/>
      </bottom>
      <diagonal/>
    </border>
    <border>
      <left style="thin">
        <color rgb="FF999999"/>
      </left>
      <right style="thin">
        <color rgb="FF999999"/>
      </right>
      <top style="thin">
        <color rgb="FFFFFFFF"/>
      </top>
      <bottom style="thin">
        <color rgb="FF99999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999999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2CC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2CC"/>
      </right>
      <top style="thin">
        <color rgb="FFFFFFFF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292F50"/>
      </left>
      <right style="thin">
        <color rgb="FFF8FAFD"/>
      </right>
      <top style="thin">
        <color rgb="FFF8FAFD"/>
      </top>
      <bottom style="thin">
        <color rgb="FFF8FAFD"/>
      </bottom>
      <diagonal/>
    </border>
    <border>
      <left style="thin">
        <color rgb="FFFFFFFF"/>
      </left>
      <right style="thin">
        <color rgb="FF292F50"/>
      </right>
      <top style="thin">
        <color rgb="FFFFFFFF"/>
      </top>
      <bottom style="thin">
        <color rgb="FFFFFFFF"/>
      </bottom>
      <diagonal/>
    </border>
    <border>
      <left style="thin">
        <color rgb="FF292F50"/>
      </left>
      <right style="thin">
        <color rgb="FF2D2E5C"/>
      </right>
      <top style="thin">
        <color rgb="FF2D2E5C"/>
      </top>
      <bottom style="thin">
        <color rgb="FF292F50"/>
      </bottom>
      <diagonal/>
    </border>
    <border>
      <left style="thin">
        <color rgb="FF2D2E5C"/>
      </left>
      <right style="thin">
        <color rgb="FF292F50"/>
      </right>
      <top style="thin">
        <color rgb="FF2D2E5C"/>
      </top>
      <bottom style="thin">
        <color rgb="FF292F50"/>
      </bottom>
      <diagonal/>
    </border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FFFFFF"/>
      </bottom>
      <diagonal/>
    </border>
    <border>
      <left style="dotted">
        <color rgb="FFCCCCCC"/>
      </left>
      <right style="dotted">
        <color rgb="FFCCCCCC"/>
      </right>
      <top style="dotted">
        <color rgb="FFCCCCCC"/>
      </top>
      <bottom style="dotted">
        <color rgb="FFCCCCCC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666666"/>
      </left>
      <right/>
      <top style="thin">
        <color rgb="FFFFFFFF"/>
      </top>
      <bottom style="thin">
        <color rgb="FFFFFFFF"/>
      </bottom>
      <diagonal/>
    </border>
    <border>
      <left style="thin">
        <color rgb="FF666666"/>
      </left>
      <right/>
      <top style="thin">
        <color rgb="FFFFFFFF"/>
      </top>
      <bottom style="thin">
        <color rgb="FF666666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dotted">
        <color rgb="FF999999"/>
      </left>
      <right style="dotted">
        <color rgb="FF999999"/>
      </right>
      <top style="dotted">
        <color rgb="FF999999"/>
      </top>
      <bottom/>
      <diagonal/>
    </border>
    <border>
      <left style="dotted">
        <color rgb="FF999999"/>
      </left>
      <right/>
      <top style="dotted">
        <color rgb="FF999999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FFFFFF"/>
      </bottom>
      <diagonal/>
    </border>
    <border>
      <left style="dotted">
        <color rgb="FF999999"/>
      </left>
      <right style="dotted">
        <color rgb="FF999999"/>
      </right>
      <top style="thin">
        <color rgb="FFFFFFFF"/>
      </top>
      <bottom style="thin">
        <color rgb="FFFFFFFF"/>
      </bottom>
      <diagonal/>
    </border>
    <border>
      <left style="dotted">
        <color rgb="FF999999"/>
      </left>
      <right style="dotted">
        <color rgb="FF999999"/>
      </right>
      <top style="dotted">
        <color rgb="FF999999"/>
      </top>
      <bottom style="thin">
        <color rgb="FFFFFFFF"/>
      </bottom>
      <diagonal/>
    </border>
    <border>
      <left style="dotted">
        <color rgb="FF000000"/>
      </left>
      <right style="dotted">
        <color rgb="FF000000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dotted">
        <color rgb="FF999999"/>
      </left>
      <right style="dotted">
        <color rgb="FF999999"/>
      </right>
      <top style="thin">
        <color rgb="FFFFFFFF"/>
      </top>
      <bottom style="dotted">
        <color rgb="FF999999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/>
      <right style="dotted">
        <color rgb="FF999999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dotted">
        <color rgb="FF000000"/>
      </left>
      <right style="dotted">
        <color rgb="FF000000"/>
      </right>
      <top style="thin">
        <color rgb="FFFFFFFF"/>
      </top>
      <bottom style="dotted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2" borderId="2" xfId="0" applyFont="1" applyFill="1" applyBorder="1"/>
    <xf numFmtId="0" fontId="2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right"/>
    </xf>
    <xf numFmtId="0" fontId="5" fillId="0" borderId="6" xfId="0" quotePrefix="1" applyFont="1" applyBorder="1"/>
    <xf numFmtId="0" fontId="6" fillId="0" borderId="1" xfId="0" applyFont="1" applyBorder="1"/>
    <xf numFmtId="10" fontId="4" fillId="0" borderId="8" xfId="0" applyNumberFormat="1" applyFont="1" applyBorder="1" applyAlignment="1">
      <alignment horizontal="right"/>
    </xf>
    <xf numFmtId="0" fontId="7" fillId="0" borderId="6" xfId="0" applyFont="1" applyBorder="1"/>
    <xf numFmtId="0" fontId="4" fillId="0" borderId="9" xfId="0" applyFont="1" applyBorder="1"/>
    <xf numFmtId="3" fontId="8" fillId="3" borderId="10" xfId="0" applyNumberFormat="1" applyFont="1" applyFill="1" applyBorder="1" applyAlignment="1">
      <alignment horizontal="right"/>
    </xf>
    <xf numFmtId="0" fontId="2" fillId="0" borderId="11" xfId="0" applyFont="1" applyBorder="1"/>
    <xf numFmtId="0" fontId="2" fillId="0" borderId="6" xfId="0" applyFont="1" applyBorder="1"/>
    <xf numFmtId="0" fontId="9" fillId="0" borderId="0" xfId="0" applyFont="1"/>
    <xf numFmtId="0" fontId="6" fillId="0" borderId="3" xfId="0" applyFont="1" applyBorder="1"/>
    <xf numFmtId="0" fontId="9" fillId="4" borderId="12" xfId="0" applyFont="1" applyFill="1" applyBorder="1" applyAlignment="1">
      <alignment horizontal="left"/>
    </xf>
    <xf numFmtId="0" fontId="9" fillId="4" borderId="13" xfId="0" applyFont="1" applyFill="1" applyBorder="1" applyAlignment="1">
      <alignment horizontal="left"/>
    </xf>
    <xf numFmtId="0" fontId="9" fillId="4" borderId="14" xfId="0" applyFont="1" applyFill="1" applyBorder="1" applyAlignment="1">
      <alignment horizontal="left"/>
    </xf>
    <xf numFmtId="0" fontId="4" fillId="5" borderId="15" xfId="0" applyFont="1" applyFill="1" applyBorder="1"/>
    <xf numFmtId="164" fontId="4" fillId="5" borderId="1" xfId="0" applyNumberFormat="1" applyFont="1" applyFill="1" applyBorder="1" applyAlignment="1">
      <alignment horizontal="right"/>
    </xf>
    <xf numFmtId="165" fontId="4" fillId="5" borderId="1" xfId="0" applyNumberFormat="1" applyFont="1" applyFill="1" applyBorder="1" applyAlignment="1">
      <alignment horizontal="right"/>
    </xf>
    <xf numFmtId="10" fontId="4" fillId="5" borderId="8" xfId="0" applyNumberFormat="1" applyFont="1" applyFill="1" applyBorder="1" applyAlignment="1">
      <alignment horizontal="right"/>
    </xf>
    <xf numFmtId="0" fontId="9" fillId="5" borderId="16" xfId="0" applyFont="1" applyFill="1" applyBorder="1"/>
    <xf numFmtId="164" fontId="9" fillId="5" borderId="17" xfId="0" applyNumberFormat="1" applyFont="1" applyFill="1" applyBorder="1" applyAlignment="1">
      <alignment horizontal="right"/>
    </xf>
    <xf numFmtId="165" fontId="9" fillId="5" borderId="17" xfId="0" applyNumberFormat="1" applyFont="1" applyFill="1" applyBorder="1" applyAlignment="1">
      <alignment horizontal="right"/>
    </xf>
    <xf numFmtId="10" fontId="4" fillId="5" borderId="10" xfId="0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12" fillId="0" borderId="13" xfId="0" applyFont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6" borderId="1" xfId="0" applyNumberFormat="1" applyFont="1" applyFill="1" applyBorder="1" applyAlignment="1">
      <alignment vertical="center"/>
    </xf>
    <xf numFmtId="3" fontId="2" fillId="6" borderId="20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2" fillId="6" borderId="22" xfId="0" applyNumberFormat="1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3" fontId="13" fillId="0" borderId="23" xfId="0" applyNumberFormat="1" applyFont="1" applyBorder="1" applyAlignment="1">
      <alignment vertical="center"/>
    </xf>
    <xf numFmtId="3" fontId="13" fillId="6" borderId="23" xfId="0" applyNumberFormat="1" applyFont="1" applyFill="1" applyBorder="1" applyAlignment="1">
      <alignment vertical="center"/>
    </xf>
    <xf numFmtId="166" fontId="13" fillId="0" borderId="23" xfId="0" applyNumberFormat="1" applyFont="1" applyBorder="1" applyAlignment="1">
      <alignment vertical="center"/>
    </xf>
    <xf numFmtId="164" fontId="13" fillId="0" borderId="23" xfId="0" applyNumberFormat="1" applyFont="1" applyBorder="1" applyAlignment="1">
      <alignment vertical="center"/>
    </xf>
    <xf numFmtId="0" fontId="14" fillId="0" borderId="1" xfId="0" applyFont="1" applyBorder="1"/>
    <xf numFmtId="0" fontId="2" fillId="0" borderId="12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0" fontId="16" fillId="7" borderId="24" xfId="0" applyFont="1" applyFill="1" applyBorder="1" applyAlignment="1">
      <alignment vertical="center"/>
    </xf>
    <xf numFmtId="167" fontId="16" fillId="5" borderId="25" xfId="0" applyNumberFormat="1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167" fontId="17" fillId="8" borderId="27" xfId="0" applyNumberFormat="1" applyFont="1" applyFill="1" applyBorder="1" applyAlignment="1">
      <alignment horizontal="center" vertical="center"/>
    </xf>
    <xf numFmtId="0" fontId="3" fillId="2" borderId="28" xfId="0" applyFont="1" applyFill="1" applyBorder="1"/>
    <xf numFmtId="0" fontId="5" fillId="0" borderId="29" xfId="0" applyFont="1" applyBorder="1"/>
    <xf numFmtId="0" fontId="5" fillId="0" borderId="1" xfId="0" applyFont="1" applyBorder="1"/>
    <xf numFmtId="0" fontId="4" fillId="0" borderId="3" xfId="0" applyFont="1" applyBorder="1"/>
    <xf numFmtId="164" fontId="4" fillId="0" borderId="1" xfId="0" applyNumberFormat="1" applyFont="1" applyBorder="1"/>
    <xf numFmtId="164" fontId="18" fillId="0" borderId="1" xfId="0" applyNumberFormat="1" applyFont="1" applyBorder="1" applyAlignment="1">
      <alignment horizontal="right"/>
    </xf>
    <xf numFmtId="0" fontId="19" fillId="0" borderId="1" xfId="0" applyFont="1" applyBorder="1"/>
    <xf numFmtId="0" fontId="4" fillId="0" borderId="19" xfId="0" applyFont="1" applyBorder="1"/>
    <xf numFmtId="0" fontId="4" fillId="0" borderId="30" xfId="0" applyFont="1" applyBorder="1"/>
    <xf numFmtId="164" fontId="4" fillId="0" borderId="31" xfId="0" applyNumberFormat="1" applyFont="1" applyBorder="1"/>
    <xf numFmtId="168" fontId="18" fillId="0" borderId="32" xfId="0" applyNumberFormat="1" applyFont="1" applyBorder="1" applyAlignment="1">
      <alignment horizontal="right"/>
    </xf>
    <xf numFmtId="0" fontId="5" fillId="0" borderId="6" xfId="0" applyFont="1" applyBorder="1"/>
    <xf numFmtId="0" fontId="18" fillId="0" borderId="33" xfId="0" applyFont="1" applyBorder="1"/>
    <xf numFmtId="9" fontId="4" fillId="0" borderId="34" xfId="0" applyNumberFormat="1" applyFont="1" applyBorder="1" applyAlignment="1">
      <alignment horizontal="right"/>
    </xf>
    <xf numFmtId="0" fontId="20" fillId="0" borderId="6" xfId="0" applyFont="1" applyBorder="1"/>
    <xf numFmtId="0" fontId="4" fillId="0" borderId="18" xfId="0" applyFont="1" applyBorder="1"/>
    <xf numFmtId="0" fontId="18" fillId="0" borderId="35" xfId="0" applyFont="1" applyBorder="1"/>
    <xf numFmtId="164" fontId="4" fillId="0" borderId="36" xfId="0" applyNumberFormat="1" applyFont="1" applyBorder="1"/>
    <xf numFmtId="168" fontId="18" fillId="0" borderId="37" xfId="0" applyNumberFormat="1" applyFont="1" applyBorder="1" applyAlignment="1">
      <alignment horizontal="right"/>
    </xf>
    <xf numFmtId="0" fontId="18" fillId="0" borderId="38" xfId="0" applyFont="1" applyBorder="1"/>
    <xf numFmtId="164" fontId="4" fillId="0" borderId="37" xfId="0" applyNumberFormat="1" applyFont="1" applyBorder="1"/>
    <xf numFmtId="0" fontId="18" fillId="0" borderId="39" xfId="0" applyFont="1" applyBorder="1"/>
    <xf numFmtId="0" fontId="4" fillId="0" borderId="11" xfId="0" applyFont="1" applyBorder="1"/>
    <xf numFmtId="0" fontId="4" fillId="0" borderId="40" xfId="0" applyFont="1" applyBorder="1"/>
    <xf numFmtId="0" fontId="2" fillId="0" borderId="35" xfId="0" applyFont="1" applyBorder="1"/>
    <xf numFmtId="0" fontId="18" fillId="0" borderId="41" xfId="0" applyFont="1" applyBorder="1"/>
    <xf numFmtId="0" fontId="4" fillId="0" borderId="29" xfId="0" applyFont="1" applyBorder="1"/>
    <xf numFmtId="0" fontId="18" fillId="0" borderId="42" xfId="0" applyFont="1" applyBorder="1" applyAlignment="1">
      <alignment horizontal="right"/>
    </xf>
    <xf numFmtId="0" fontId="4" fillId="0" borderId="43" xfId="0" applyFont="1" applyBorder="1"/>
    <xf numFmtId="164" fontId="4" fillId="0" borderId="44" xfId="0" applyNumberFormat="1" applyFont="1" applyBorder="1"/>
    <xf numFmtId="164" fontId="4" fillId="0" borderId="45" xfId="0" applyNumberFormat="1" applyFont="1" applyBorder="1"/>
    <xf numFmtId="1" fontId="18" fillId="0" borderId="46" xfId="0" applyNumberFormat="1" applyFont="1" applyBorder="1" applyAlignment="1">
      <alignment horizontal="right"/>
    </xf>
    <xf numFmtId="0" fontId="3" fillId="2" borderId="0" xfId="0" applyFont="1" applyFill="1"/>
    <xf numFmtId="165" fontId="4" fillId="0" borderId="30" xfId="0" applyNumberFormat="1" applyFont="1" applyBorder="1"/>
    <xf numFmtId="165" fontId="4" fillId="0" borderId="43" xfId="0" applyNumberFormat="1" applyFont="1" applyBorder="1"/>
    <xf numFmtId="0" fontId="4" fillId="9" borderId="1" xfId="0" applyFont="1" applyFill="1" applyBorder="1"/>
    <xf numFmtId="0" fontId="4" fillId="9" borderId="11" xfId="0" applyFont="1" applyFill="1" applyBorder="1"/>
    <xf numFmtId="0" fontId="3" fillId="2" borderId="48" xfId="0" applyFont="1" applyFill="1" applyBorder="1" applyAlignment="1">
      <alignment horizontal="center"/>
    </xf>
    <xf numFmtId="0" fontId="19" fillId="0" borderId="49" xfId="0" applyFont="1" applyBorder="1"/>
    <xf numFmtId="0" fontId="4" fillId="5" borderId="50" xfId="0" applyFont="1" applyFill="1" applyBorder="1"/>
    <xf numFmtId="0" fontId="4" fillId="5" borderId="51" xfId="0" applyFont="1" applyFill="1" applyBorder="1"/>
    <xf numFmtId="0" fontId="4" fillId="5" borderId="19" xfId="0" applyFont="1" applyFill="1" applyBorder="1"/>
    <xf numFmtId="0" fontId="4" fillId="5" borderId="52" xfId="0" applyFont="1" applyFill="1" applyBorder="1"/>
    <xf numFmtId="0" fontId="4" fillId="5" borderId="6" xfId="0" applyFont="1" applyFill="1" applyBorder="1"/>
    <xf numFmtId="0" fontId="4" fillId="5" borderId="1" xfId="0" applyFont="1" applyFill="1" applyBorder="1"/>
    <xf numFmtId="0" fontId="9" fillId="0" borderId="19" xfId="0" applyFont="1" applyBorder="1"/>
    <xf numFmtId="0" fontId="4" fillId="0" borderId="52" xfId="0" applyFont="1" applyBorder="1"/>
    <xf numFmtId="0" fontId="12" fillId="0" borderId="18" xfId="0" applyFont="1" applyBorder="1"/>
    <xf numFmtId="0" fontId="18" fillId="0" borderId="50" xfId="0" applyFont="1" applyBorder="1" applyAlignment="1">
      <alignment horizontal="right"/>
    </xf>
    <xf numFmtId="0" fontId="19" fillId="0" borderId="52" xfId="0" applyFont="1" applyBorder="1"/>
    <xf numFmtId="0" fontId="18" fillId="0" borderId="18" xfId="0" applyFont="1" applyBorder="1"/>
    <xf numFmtId="0" fontId="4" fillId="0" borderId="50" xfId="0" applyFont="1" applyBorder="1"/>
    <xf numFmtId="0" fontId="9" fillId="0" borderId="18" xfId="0" applyFont="1" applyBorder="1"/>
    <xf numFmtId="1" fontId="18" fillId="0" borderId="50" xfId="0" applyNumberFormat="1" applyFont="1" applyBorder="1" applyAlignment="1">
      <alignment horizontal="right"/>
    </xf>
    <xf numFmtId="1" fontId="9" fillId="0" borderId="19" xfId="0" applyNumberFormat="1" applyFont="1" applyBorder="1"/>
    <xf numFmtId="1" fontId="12" fillId="0" borderId="50" xfId="0" applyNumberFormat="1" applyFont="1" applyBorder="1" applyAlignment="1">
      <alignment horizontal="right"/>
    </xf>
    <xf numFmtId="0" fontId="9" fillId="0" borderId="52" xfId="0" applyFont="1" applyBorder="1"/>
    <xf numFmtId="0" fontId="9" fillId="0" borderId="6" xfId="0" applyFont="1" applyBorder="1"/>
    <xf numFmtId="0" fontId="9" fillId="0" borderId="1" xfId="0" applyFont="1" applyBorder="1"/>
    <xf numFmtId="0" fontId="21" fillId="0" borderId="18" xfId="0" applyFont="1" applyBorder="1" applyAlignment="1">
      <alignment horizontal="right"/>
    </xf>
    <xf numFmtId="1" fontId="21" fillId="0" borderId="50" xfId="0" applyNumberFormat="1" applyFont="1" applyBorder="1" applyAlignment="1">
      <alignment horizontal="right"/>
    </xf>
    <xf numFmtId="3" fontId="18" fillId="0" borderId="50" xfId="0" applyNumberFormat="1" applyFont="1" applyBorder="1" applyAlignment="1">
      <alignment horizontal="right"/>
    </xf>
    <xf numFmtId="0" fontId="9" fillId="0" borderId="50" xfId="0" applyFont="1" applyBorder="1"/>
    <xf numFmtId="1" fontId="9" fillId="0" borderId="50" xfId="0" applyNumberFormat="1" applyFont="1" applyBorder="1"/>
    <xf numFmtId="168" fontId="9" fillId="0" borderId="50" xfId="0" applyNumberFormat="1" applyFont="1" applyBorder="1"/>
    <xf numFmtId="168" fontId="9" fillId="0" borderId="19" xfId="0" applyNumberFormat="1" applyFont="1" applyBorder="1"/>
    <xf numFmtId="168" fontId="18" fillId="0" borderId="50" xfId="0" applyNumberFormat="1" applyFont="1" applyBorder="1" applyAlignment="1">
      <alignment horizontal="right"/>
    </xf>
    <xf numFmtId="168" fontId="4" fillId="0" borderId="19" xfId="0" applyNumberFormat="1" applyFont="1" applyBorder="1"/>
    <xf numFmtId="0" fontId="22" fillId="0" borderId="18" xfId="0" applyFont="1" applyBorder="1"/>
    <xf numFmtId="10" fontId="22" fillId="0" borderId="50" xfId="0" applyNumberFormat="1" applyFont="1" applyBorder="1"/>
    <xf numFmtId="0" fontId="18" fillId="5" borderId="53" xfId="0" applyFont="1" applyFill="1" applyBorder="1"/>
    <xf numFmtId="10" fontId="19" fillId="0" borderId="52" xfId="0" applyNumberFormat="1" applyFont="1" applyBorder="1" applyAlignment="1">
      <alignment horizontal="right"/>
    </xf>
    <xf numFmtId="0" fontId="23" fillId="0" borderId="6" xfId="0" applyFont="1" applyBorder="1"/>
    <xf numFmtId="9" fontId="4" fillId="0" borderId="52" xfId="0" applyNumberFormat="1" applyFont="1" applyBorder="1"/>
    <xf numFmtId="0" fontId="12" fillId="6" borderId="53" xfId="0" applyFont="1" applyFill="1" applyBorder="1"/>
    <xf numFmtId="168" fontId="12" fillId="6" borderId="54" xfId="0" applyNumberFormat="1" applyFont="1" applyFill="1" applyBorder="1" applyAlignment="1">
      <alignment horizontal="right"/>
    </xf>
    <xf numFmtId="168" fontId="9" fillId="6" borderId="19" xfId="0" applyNumberFormat="1" applyFont="1" applyFill="1" applyBorder="1"/>
    <xf numFmtId="10" fontId="4" fillId="0" borderId="1" xfId="0" applyNumberFormat="1" applyFont="1" applyBorder="1"/>
    <xf numFmtId="10" fontId="22" fillId="0" borderId="1" xfId="0" applyNumberFormat="1" applyFont="1" applyBorder="1"/>
    <xf numFmtId="168" fontId="12" fillId="0" borderId="50" xfId="0" applyNumberFormat="1" applyFont="1" applyBorder="1" applyAlignment="1">
      <alignment horizontal="right"/>
    </xf>
    <xf numFmtId="0" fontId="12" fillId="0" borderId="1" xfId="0" applyFont="1" applyBorder="1"/>
    <xf numFmtId="0" fontId="13" fillId="0" borderId="0" xfId="0" applyFont="1"/>
    <xf numFmtId="0" fontId="22" fillId="0" borderId="55" xfId="0" applyFont="1" applyBorder="1"/>
    <xf numFmtId="10" fontId="24" fillId="0" borderId="56" xfId="0" applyNumberFormat="1" applyFont="1" applyBorder="1" applyAlignment="1">
      <alignment horizontal="right"/>
    </xf>
    <xf numFmtId="10" fontId="24" fillId="0" borderId="50" xfId="0" applyNumberFormat="1" applyFont="1" applyBorder="1" applyAlignment="1">
      <alignment horizontal="right"/>
    </xf>
    <xf numFmtId="168" fontId="22" fillId="0" borderId="19" xfId="0" applyNumberFormat="1" applyFont="1" applyBorder="1"/>
    <xf numFmtId="0" fontId="22" fillId="0" borderId="52" xfId="0" applyFont="1" applyBorder="1"/>
    <xf numFmtId="0" fontId="22" fillId="0" borderId="6" xfId="0" applyFont="1" applyBorder="1"/>
    <xf numFmtId="0" fontId="22" fillId="0" borderId="1" xfId="0" applyFont="1" applyBorder="1"/>
    <xf numFmtId="0" fontId="12" fillId="0" borderId="57" xfId="0" applyFont="1" applyBorder="1"/>
    <xf numFmtId="0" fontId="22" fillId="0" borderId="0" xfId="0" applyFont="1"/>
    <xf numFmtId="0" fontId="4" fillId="0" borderId="58" xfId="0" applyFont="1" applyBorder="1"/>
    <xf numFmtId="0" fontId="10" fillId="4" borderId="18" xfId="0" applyFont="1" applyFill="1" applyBorder="1" applyAlignment="1">
      <alignment horizontal="center"/>
    </xf>
    <xf numFmtId="0" fontId="11" fillId="0" borderId="19" xfId="0" applyFont="1" applyBorder="1"/>
    <xf numFmtId="0" fontId="11" fillId="0" borderId="6" xfId="0" applyFont="1" applyBorder="1"/>
    <xf numFmtId="0" fontId="3" fillId="4" borderId="0" xfId="0" applyFont="1" applyFill="1" applyAlignment="1">
      <alignment horizontal="center"/>
    </xf>
    <xf numFmtId="0" fontId="0" fillId="0" borderId="0" xfId="0"/>
    <xf numFmtId="168" fontId="12" fillId="10" borderId="50" xfId="0" applyNumberFormat="1" applyFont="1" applyFill="1" applyBorder="1" applyAlignment="1">
      <alignment horizontal="right"/>
    </xf>
    <xf numFmtId="168" fontId="0" fillId="0" borderId="0" xfId="0" applyNumberFormat="1"/>
    <xf numFmtId="168" fontId="4" fillId="0" borderId="18" xfId="0" applyNumberFormat="1" applyFont="1" applyBorder="1"/>
    <xf numFmtId="0" fontId="4" fillId="0" borderId="53" xfId="0" applyFont="1" applyBorder="1"/>
    <xf numFmtId="0" fontId="3" fillId="2" borderId="47" xfId="0" applyFont="1" applyFill="1" applyBorder="1" applyAlignment="1">
      <alignment horizontal="center"/>
    </xf>
  </cellXfs>
  <cellStyles count="1">
    <cellStyle name="Normal" xfId="0" builtinId="0"/>
  </cellStyles>
  <dxfs count="9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</dxfs>
  <tableStyles count="3">
    <tableStyle name="TAM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TAM-style 2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TAM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57150</xdr:rowOff>
    </xdr:from>
    <xdr:to>
      <xdr:col>0</xdr:col>
      <xdr:colOff>2324100</xdr:colOff>
      <xdr:row>1</xdr:row>
      <xdr:rowOff>609600</xdr:rowOff>
    </xdr:to>
    <xdr:pic>
      <xdr:nvPicPr>
        <xdr:cNvPr id="2" name="Image 1" descr="Guillaume Feutry - Co-fondateur - Shunter | LinkedIn">
          <a:extLst>
            <a:ext uri="{FF2B5EF4-FFF2-40B4-BE49-F238E27FC236}">
              <a16:creationId xmlns:a16="http://schemas.microsoft.com/office/drawing/2014/main" id="{1B79EE07-5B8B-07A4-574A-84613B1B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54000"/>
          <a:ext cx="22098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2641601</xdr:colOff>
      <xdr:row>1</xdr:row>
      <xdr:rowOff>57151</xdr:rowOff>
    </xdr:from>
    <xdr:to>
      <xdr:col>2</xdr:col>
      <xdr:colOff>330200</xdr:colOff>
      <xdr:row>1</xdr:row>
      <xdr:rowOff>624786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EA774E9-7992-9FE3-0DF0-20084F0D5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1" y="254001"/>
          <a:ext cx="2006599" cy="56763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SE_HELLOASSO" displayName="BASE_HELLOASSO" ref="A13:D25">
  <tableColumns count="4">
    <tableColumn id="1" xr3:uid="{00000000-0010-0000-0000-000001000000}" name="SECTEUR"/>
    <tableColumn id="2" xr3:uid="{00000000-0010-0000-0000-000002000000}" name="VOLUME COLLECTE"/>
    <tableColumn id="3" xr3:uid="{00000000-0010-0000-0000-000003000000}" name="CV"/>
    <tableColumn id="4" xr3:uid="{00000000-0010-0000-0000-000004000000}" name="Tx CV"/>
  </tableColumns>
  <tableStyleInfo name="TAM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DONNÉES_MARCHÉ" displayName="DONNÉES_MARCHÉ" ref="A29:L37">
  <tableColumns count="12">
    <tableColumn id="1" xr3:uid="{00000000-0010-0000-0100-000001000000}" name="SECTEUR"/>
    <tableColumn id="2" xr3:uid="{00000000-0010-0000-0100-000002000000}" name="Total Association"/>
    <tableColumn id="3" xr3:uid="{00000000-0010-0000-0100-000003000000}" name="Moins de 1K€"/>
    <tableColumn id="4" xr3:uid="{00000000-0010-0000-0100-000004000000}" name="1 à 10K€"/>
    <tableColumn id="5" xr3:uid="{00000000-0010-0000-0100-000005000000}" name="10 à 50K€"/>
    <tableColumn id="6" xr3:uid="{00000000-0010-0000-0100-000006000000}" name="50 à 200K€"/>
    <tableColumn id="7" xr3:uid="{00000000-0010-0000-0100-000007000000}" name="200 à 500K€"/>
    <tableColumn id="8" xr3:uid="{00000000-0010-0000-0100-000008000000}" name="Plus de 500K€"/>
    <tableColumn id="9" xr3:uid="{00000000-0010-0000-0100-000009000000}" name="TAM en nombre assos"/>
    <tableColumn id="10" xr3:uid="{00000000-0010-0000-0100-00000A000000}" name="TAM en nombre assos utilisatrices billetterie"/>
    <tableColumn id="11" xr3:uid="{00000000-0010-0000-0100-00000B000000}" name="TAM en potentiel de collecte"/>
    <tableColumn id="12" xr3:uid="{00000000-0010-0000-0100-00000C000000}" name="TAM en potentiel de revenu"/>
  </tableColumns>
  <tableStyleInfo name="TAM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ux_utilisation_billetterie_par_verticale" displayName="Taux_utilisation_billetterie_par_verticale" ref="A44:B54">
  <tableColumns count="2">
    <tableColumn id="1" xr3:uid="{00000000-0010-0000-0200-000001000000}" name="Colonne 1"/>
    <tableColumn id="2" xr3:uid="{00000000-0010-0000-0200-000002000000}" name="Tx d'utilisation solution Billetterie  (Association active)"/>
  </tableColumns>
  <tableStyleInfo name="TAM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S9BQU0PnAuaXQtQ0QivKpTbnrNzxZwi19GtefjkgogA/edit?usp=sharing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hyperlink" Target="https://docs.google.com/spreadsheets/d/1S9BQU0PnAuaXQtQ0QivKpTbnrNzxZwi19GtefjkgogA/edit?usp=sharing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78"/>
  <sheetViews>
    <sheetView tabSelected="1" topLeftCell="A33" workbookViewId="0">
      <pane xSplit="1" topLeftCell="C1" activePane="topRight" state="frozen"/>
      <selection pane="topRight" activeCell="G38" sqref="G38"/>
    </sheetView>
  </sheetViews>
  <sheetFormatPr baseColWidth="10" defaultColWidth="12.6328125" defaultRowHeight="15.75" customHeight="1" x14ac:dyDescent="0.25"/>
  <cols>
    <col min="1" max="1" width="49.1796875" customWidth="1"/>
    <col min="6" max="6" width="19.36328125" customWidth="1"/>
    <col min="7" max="7" width="59.1796875" customWidth="1"/>
    <col min="8" max="8" width="16.7265625" customWidth="1"/>
    <col min="9" max="9" width="19.453125" customWidth="1"/>
    <col min="17" max="17" width="21.90625" customWidth="1"/>
    <col min="18" max="18" width="21.26953125" customWidth="1"/>
  </cols>
  <sheetData>
    <row r="1" spans="1:29" ht="15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61" customHeight="1" x14ac:dyDescent="0.25">
      <c r="A2" s="8"/>
      <c r="B2" s="16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33" customHeight="1" x14ac:dyDescent="0.9">
      <c r="A3" s="1" t="s">
        <v>57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15.7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0" t="s">
        <v>58</v>
      </c>
      <c r="R4" s="61" t="s">
        <v>59</v>
      </c>
      <c r="S4" s="61" t="s">
        <v>60</v>
      </c>
      <c r="T4" s="62" t="s">
        <v>61</v>
      </c>
      <c r="U4" s="8"/>
      <c r="V4" s="8"/>
      <c r="W4" s="8"/>
      <c r="X4" s="8"/>
      <c r="Y4" s="8"/>
      <c r="Z4" s="8"/>
      <c r="AA4" s="8"/>
      <c r="AB4" s="8"/>
      <c r="AC4" s="8"/>
    </row>
    <row r="5" spans="1:29" ht="15.75" customHeight="1" x14ac:dyDescent="0.4">
      <c r="A5" s="60" t="s">
        <v>62</v>
      </c>
      <c r="B5" s="63"/>
      <c r="C5" s="8"/>
      <c r="D5" s="8"/>
      <c r="E5" s="8"/>
      <c r="F5" s="8"/>
      <c r="G5" s="8"/>
      <c r="H5" s="60" t="s">
        <v>63</v>
      </c>
      <c r="I5" s="64" t="s">
        <v>64</v>
      </c>
      <c r="J5" s="65">
        <v>100000</v>
      </c>
      <c r="K5" s="66" t="s">
        <v>65</v>
      </c>
      <c r="L5" s="64"/>
      <c r="M5" s="64"/>
      <c r="O5" s="8"/>
      <c r="P5" s="67"/>
      <c r="Q5" s="68" t="s">
        <v>66</v>
      </c>
      <c r="R5" s="69">
        <f t="shared" ref="R5:R11" si="0">S5*1.45</f>
        <v>50750</v>
      </c>
      <c r="S5" s="70">
        <v>35000</v>
      </c>
      <c r="T5" s="71"/>
      <c r="U5" s="8"/>
      <c r="V5" s="8"/>
      <c r="W5" s="8"/>
      <c r="X5" s="8"/>
      <c r="Y5" s="8"/>
      <c r="Z5" s="8"/>
      <c r="AA5" s="8"/>
      <c r="AB5" s="8"/>
      <c r="AC5" s="8"/>
    </row>
    <row r="6" spans="1:29" ht="15.75" customHeight="1" x14ac:dyDescent="0.4">
      <c r="A6" s="72" t="s">
        <v>67</v>
      </c>
      <c r="B6" s="73">
        <v>0.3</v>
      </c>
      <c r="C6" s="74" t="s">
        <v>68</v>
      </c>
      <c r="D6" s="8"/>
      <c r="E6" s="8"/>
      <c r="F6" s="8"/>
      <c r="G6" s="75"/>
      <c r="H6" s="8"/>
      <c r="I6" s="8" t="s">
        <v>69</v>
      </c>
      <c r="J6" s="64">
        <f>J5*G57</f>
        <v>1799.9999999999998</v>
      </c>
      <c r="K6" s="8"/>
      <c r="L6" s="8"/>
      <c r="M6" s="8"/>
      <c r="O6" s="8"/>
      <c r="P6" s="67"/>
      <c r="Q6" s="76" t="s">
        <v>70</v>
      </c>
      <c r="R6" s="77">
        <f t="shared" si="0"/>
        <v>65250</v>
      </c>
      <c r="S6" s="78">
        <v>45000</v>
      </c>
      <c r="T6" s="71" t="s">
        <v>71</v>
      </c>
      <c r="U6" s="8"/>
      <c r="V6" s="8"/>
      <c r="W6" s="8"/>
      <c r="X6" s="8"/>
      <c r="Y6" s="8"/>
      <c r="Z6" s="8"/>
      <c r="AA6" s="8"/>
      <c r="AB6" s="8"/>
      <c r="AC6" s="8"/>
    </row>
    <row r="7" spans="1:29" ht="15.75" customHeight="1" x14ac:dyDescent="0.4">
      <c r="A7" s="79" t="s">
        <v>72</v>
      </c>
      <c r="B7" s="73">
        <v>0.5</v>
      </c>
      <c r="C7" s="74" t="s">
        <v>73</v>
      </c>
      <c r="D7" s="8"/>
      <c r="E7" s="8"/>
      <c r="F7" s="8"/>
      <c r="G7" s="75"/>
      <c r="H7" s="8"/>
      <c r="I7" s="64" t="s">
        <v>74</v>
      </c>
      <c r="J7" s="64">
        <f>J6*(1+1.2+1.2)</f>
        <v>6120</v>
      </c>
      <c r="K7" s="8"/>
      <c r="L7" s="8"/>
      <c r="M7" s="8"/>
      <c r="N7" s="8"/>
      <c r="O7" s="8"/>
      <c r="P7" s="67"/>
      <c r="Q7" s="76" t="s">
        <v>75</v>
      </c>
      <c r="R7" s="77">
        <f t="shared" si="0"/>
        <v>116000</v>
      </c>
      <c r="S7" s="80">
        <v>80000</v>
      </c>
      <c r="T7" s="71" t="s">
        <v>76</v>
      </c>
      <c r="U7" s="8"/>
      <c r="V7" s="8"/>
      <c r="W7" s="8"/>
      <c r="X7" s="8"/>
      <c r="Y7" s="8"/>
      <c r="Z7" s="8"/>
      <c r="AA7" s="8"/>
      <c r="AB7" s="8"/>
      <c r="AC7" s="8"/>
    </row>
    <row r="8" spans="1:29" ht="15.75" customHeight="1" x14ac:dyDescent="0.4">
      <c r="A8" s="81" t="s">
        <v>77</v>
      </c>
      <c r="B8" s="73">
        <v>0.4</v>
      </c>
      <c r="C8" s="74" t="s">
        <v>78</v>
      </c>
      <c r="D8" s="8"/>
      <c r="E8" s="8"/>
      <c r="F8" s="8"/>
      <c r="G8" s="75"/>
      <c r="H8" s="8"/>
      <c r="I8" s="8"/>
      <c r="J8" s="8"/>
      <c r="K8" s="8"/>
      <c r="L8" s="8"/>
      <c r="M8" s="8"/>
      <c r="N8" s="8"/>
      <c r="O8" s="8"/>
      <c r="P8" s="67"/>
      <c r="Q8" s="76" t="s">
        <v>79</v>
      </c>
      <c r="R8" s="77">
        <f t="shared" si="0"/>
        <v>55100</v>
      </c>
      <c r="S8" s="78">
        <v>38000</v>
      </c>
      <c r="T8" s="71"/>
      <c r="U8" s="8"/>
      <c r="V8" s="8"/>
      <c r="W8" s="8"/>
      <c r="X8" s="8"/>
      <c r="Y8" s="8"/>
      <c r="Z8" s="8"/>
      <c r="AA8" s="8"/>
      <c r="AB8" s="8"/>
      <c r="AC8" s="8"/>
    </row>
    <row r="9" spans="1:29" ht="15.75" customHeight="1" x14ac:dyDescent="0.4">
      <c r="A9" s="82"/>
      <c r="B9" s="83"/>
      <c r="C9" s="63"/>
      <c r="D9" s="63"/>
      <c r="E9" s="63"/>
      <c r="F9" s="8"/>
      <c r="G9" s="75"/>
      <c r="H9" s="8"/>
      <c r="I9" s="8"/>
      <c r="J9" s="8"/>
      <c r="K9" s="8"/>
      <c r="L9" s="8"/>
      <c r="M9" s="8"/>
      <c r="N9" s="8"/>
      <c r="O9" s="8"/>
      <c r="P9" s="67"/>
      <c r="Q9" s="84" t="s">
        <v>80</v>
      </c>
      <c r="R9" s="77">
        <f t="shared" si="0"/>
        <v>55100</v>
      </c>
      <c r="S9" s="78">
        <v>38000</v>
      </c>
      <c r="T9" s="71"/>
      <c r="U9" s="8"/>
      <c r="V9" s="8"/>
      <c r="W9" s="8"/>
      <c r="X9" s="8"/>
      <c r="Y9" s="8"/>
      <c r="Z9" s="8"/>
      <c r="AA9" s="8"/>
      <c r="AB9" s="8"/>
      <c r="AC9" s="8"/>
    </row>
    <row r="10" spans="1:29" ht="15.75" customHeight="1" x14ac:dyDescent="0.4">
      <c r="A10" s="3" t="s">
        <v>81</v>
      </c>
      <c r="B10" s="85" t="s">
        <v>82</v>
      </c>
      <c r="C10" s="86"/>
      <c r="D10" s="63"/>
      <c r="E10" s="63"/>
      <c r="F10" s="7"/>
      <c r="G10" s="8"/>
      <c r="H10" s="8"/>
      <c r="I10" s="8"/>
      <c r="J10" s="8"/>
      <c r="K10" s="8"/>
      <c r="L10" s="8"/>
      <c r="M10" s="8"/>
      <c r="N10" s="8"/>
      <c r="O10" s="8"/>
      <c r="P10" s="75"/>
      <c r="Q10" s="84" t="s">
        <v>83</v>
      </c>
      <c r="R10" s="77">
        <f t="shared" si="0"/>
        <v>68150</v>
      </c>
      <c r="S10" s="78">
        <v>47000</v>
      </c>
      <c r="U10" s="8"/>
      <c r="V10" s="8"/>
      <c r="W10" s="8"/>
      <c r="X10" s="8"/>
      <c r="Y10" s="8"/>
      <c r="Z10" s="8"/>
      <c r="AA10" s="8"/>
      <c r="AB10" s="8"/>
      <c r="AC10" s="8"/>
    </row>
    <row r="11" spans="1:29" ht="15.75" customHeight="1" x14ac:dyDescent="0.4">
      <c r="A11" s="72" t="s">
        <v>84</v>
      </c>
      <c r="B11" s="87">
        <v>200</v>
      </c>
      <c r="C11" s="86"/>
      <c r="D11" s="63"/>
      <c r="E11" s="63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8" t="s">
        <v>85</v>
      </c>
      <c r="R11" s="89">
        <f t="shared" si="0"/>
        <v>87000</v>
      </c>
      <c r="S11" s="90">
        <v>60000</v>
      </c>
      <c r="T11" s="71" t="s">
        <v>86</v>
      </c>
      <c r="U11" s="8"/>
      <c r="V11" s="8"/>
      <c r="W11" s="8"/>
      <c r="X11" s="8"/>
      <c r="Y11" s="8"/>
      <c r="Z11" s="8"/>
      <c r="AA11" s="8"/>
      <c r="AB11" s="8"/>
      <c r="AC11" s="8"/>
    </row>
    <row r="12" spans="1:29" ht="15.75" customHeight="1" x14ac:dyDescent="0.4">
      <c r="A12" s="81" t="s">
        <v>87</v>
      </c>
      <c r="B12" s="91">
        <v>10</v>
      </c>
      <c r="C12" s="86"/>
      <c r="D12" s="63"/>
      <c r="E12" s="63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ht="15.75" customHeight="1" x14ac:dyDescent="0.25">
      <c r="A13" s="82"/>
      <c r="B13" s="83"/>
      <c r="C13" s="63"/>
      <c r="D13" s="63"/>
      <c r="E13" s="63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15.75" customHeight="1" x14ac:dyDescent="0.4">
      <c r="A14" s="92" t="s">
        <v>88</v>
      </c>
      <c r="B14" s="93">
        <f>C69/C42</f>
        <v>783.99357601713064</v>
      </c>
      <c r="C14" s="86"/>
      <c r="D14" s="63"/>
      <c r="E14" s="63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ht="15.75" customHeight="1" x14ac:dyDescent="0.4">
      <c r="A15" s="3" t="s">
        <v>89</v>
      </c>
      <c r="B15" s="94">
        <v>120</v>
      </c>
      <c r="C15" s="86"/>
      <c r="D15" s="63"/>
      <c r="E15" s="63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ht="15.75" customHeight="1" x14ac:dyDescent="0.25">
      <c r="A16" s="95"/>
      <c r="B16" s="96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</row>
    <row r="17" spans="1:29" ht="15.7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35" customHeight="1" x14ac:dyDescent="0.9">
      <c r="A18" s="1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12.5" x14ac:dyDescent="0.25">
      <c r="A19" s="8"/>
      <c r="B19" s="63"/>
      <c r="C19" s="63"/>
      <c r="D19" s="8"/>
      <c r="E19" s="8"/>
      <c r="F19" s="8"/>
      <c r="G19" s="63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34.5" x14ac:dyDescent="0.9">
      <c r="A20" s="1" t="s">
        <v>90</v>
      </c>
      <c r="B20" s="161">
        <v>2025</v>
      </c>
      <c r="C20" s="161">
        <v>2026</v>
      </c>
      <c r="D20" s="161">
        <v>2027</v>
      </c>
      <c r="E20" s="161">
        <v>2028</v>
      </c>
      <c r="F20" s="97" t="s">
        <v>91</v>
      </c>
      <c r="G20" s="98" t="s">
        <v>92</v>
      </c>
      <c r="H20" s="7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12.5" x14ac:dyDescent="0.25">
      <c r="B21" s="99"/>
      <c r="C21" s="99"/>
      <c r="D21" s="100"/>
      <c r="E21" s="100"/>
      <c r="F21" s="101"/>
      <c r="G21" s="102"/>
      <c r="H21" s="103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</row>
    <row r="22" spans="1:29" ht="14.5" x14ac:dyDescent="0.4">
      <c r="A22" s="3" t="s">
        <v>93</v>
      </c>
      <c r="B22" s="105">
        <f t="shared" ref="B22:F22" si="1">SUM(B24:B33)</f>
        <v>1.75</v>
      </c>
      <c r="C22" s="105">
        <f t="shared" si="1"/>
        <v>9.5</v>
      </c>
      <c r="D22" s="105">
        <f t="shared" si="1"/>
        <v>12</v>
      </c>
      <c r="E22" s="105">
        <f t="shared" si="1"/>
        <v>15</v>
      </c>
      <c r="F22" s="105">
        <f t="shared" si="1"/>
        <v>15</v>
      </c>
      <c r="G22" s="106"/>
      <c r="H22" s="7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14.5" x14ac:dyDescent="0.4">
      <c r="A23" s="107" t="s">
        <v>94</v>
      </c>
      <c r="B23" s="108"/>
      <c r="C23" s="108"/>
      <c r="D23" s="108"/>
      <c r="E23" s="108"/>
      <c r="F23" s="105"/>
      <c r="G23" s="109"/>
      <c r="H23" s="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t="14.5" x14ac:dyDescent="0.4">
      <c r="A24" s="110" t="s">
        <v>95</v>
      </c>
      <c r="B24" s="108">
        <v>0.25</v>
      </c>
      <c r="C24" s="108">
        <v>3</v>
      </c>
      <c r="D24" s="108">
        <v>3</v>
      </c>
      <c r="E24" s="108">
        <v>4</v>
      </c>
      <c r="F24" s="105">
        <f t="shared" ref="F24:F33" si="2">E24</f>
        <v>4</v>
      </c>
      <c r="G24" s="109"/>
      <c r="H24" s="7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ht="14.5" x14ac:dyDescent="0.4">
      <c r="A25" s="110" t="s">
        <v>96</v>
      </c>
      <c r="B25" s="108"/>
      <c r="C25" s="108">
        <v>1.5</v>
      </c>
      <c r="D25" s="108">
        <v>2</v>
      </c>
      <c r="E25" s="108">
        <v>3</v>
      </c>
      <c r="F25" s="105">
        <f t="shared" si="2"/>
        <v>3</v>
      </c>
      <c r="G25" s="106"/>
      <c r="H25" s="7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ht="14.5" x14ac:dyDescent="0.4">
      <c r="A26" s="110" t="s">
        <v>97</v>
      </c>
      <c r="B26" s="108">
        <v>0.25</v>
      </c>
      <c r="C26" s="108">
        <v>1</v>
      </c>
      <c r="D26" s="108">
        <v>1</v>
      </c>
      <c r="E26" s="108">
        <v>1</v>
      </c>
      <c r="F26" s="105">
        <f t="shared" si="2"/>
        <v>1</v>
      </c>
      <c r="G26" s="106"/>
      <c r="H26" s="7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ht="14.5" x14ac:dyDescent="0.4">
      <c r="A27" s="107" t="s">
        <v>79</v>
      </c>
      <c r="B27" s="111"/>
      <c r="C27" s="111"/>
      <c r="D27" s="111"/>
      <c r="E27" s="111"/>
      <c r="F27" s="105">
        <f t="shared" si="2"/>
        <v>0</v>
      </c>
      <c r="G27" s="109"/>
      <c r="H27" s="7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14.5" x14ac:dyDescent="0.4">
      <c r="A28" s="110" t="s">
        <v>98</v>
      </c>
      <c r="B28" s="108">
        <v>0.25</v>
      </c>
      <c r="C28" s="111">
        <v>1</v>
      </c>
      <c r="D28" s="111">
        <v>2</v>
      </c>
      <c r="E28" s="111">
        <v>2</v>
      </c>
      <c r="F28" s="105">
        <f t="shared" si="2"/>
        <v>2</v>
      </c>
      <c r="G28" s="106"/>
      <c r="H28" s="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ht="13" x14ac:dyDescent="0.3">
      <c r="A29" s="112" t="s">
        <v>99</v>
      </c>
      <c r="B29" s="111"/>
      <c r="C29" s="111"/>
      <c r="D29" s="111"/>
      <c r="E29" s="111"/>
      <c r="F29" s="105">
        <f t="shared" si="2"/>
        <v>0</v>
      </c>
      <c r="G29" s="106"/>
      <c r="H29" s="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ht="13" x14ac:dyDescent="0.3">
      <c r="A30" s="75" t="s">
        <v>100</v>
      </c>
      <c r="B30" s="111"/>
      <c r="C30" s="111">
        <v>1</v>
      </c>
      <c r="D30" s="111">
        <v>1</v>
      </c>
      <c r="E30" s="111">
        <v>1</v>
      </c>
      <c r="F30" s="105">
        <f t="shared" si="2"/>
        <v>1</v>
      </c>
      <c r="G30" s="106"/>
      <c r="H30" s="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ht="13" x14ac:dyDescent="0.3">
      <c r="A31" s="112" t="s">
        <v>101</v>
      </c>
      <c r="B31" s="111"/>
      <c r="C31" s="111"/>
      <c r="D31" s="111"/>
      <c r="E31" s="111"/>
      <c r="F31" s="105">
        <f t="shared" si="2"/>
        <v>0</v>
      </c>
      <c r="G31" s="106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ht="13.5" x14ac:dyDescent="0.35">
      <c r="A32" s="75" t="s">
        <v>102</v>
      </c>
      <c r="B32" s="111">
        <f>2*0.5</f>
        <v>1</v>
      </c>
      <c r="C32" s="111">
        <v>2</v>
      </c>
      <c r="D32" s="111">
        <v>2</v>
      </c>
      <c r="E32" s="111">
        <v>2</v>
      </c>
      <c r="F32" s="105">
        <f t="shared" si="2"/>
        <v>2</v>
      </c>
      <c r="G32" s="109" t="s">
        <v>103</v>
      </c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ht="13" x14ac:dyDescent="0.3">
      <c r="A33" s="75" t="s">
        <v>104</v>
      </c>
      <c r="B33" s="111"/>
      <c r="C33" s="111">
        <v>0</v>
      </c>
      <c r="D33" s="111">
        <v>1</v>
      </c>
      <c r="E33" s="111">
        <v>2</v>
      </c>
      <c r="F33" s="105">
        <f t="shared" si="2"/>
        <v>2</v>
      </c>
      <c r="G33" s="106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ht="13" x14ac:dyDescent="0.3">
      <c r="A34" s="111"/>
      <c r="B34" s="111"/>
      <c r="C34" s="111"/>
      <c r="D34" s="111"/>
      <c r="E34" s="111"/>
      <c r="F34" s="105"/>
      <c r="G34" s="106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t="13" x14ac:dyDescent="0.3">
      <c r="A35" s="160"/>
      <c r="B35" s="111"/>
      <c r="C35" s="111"/>
      <c r="D35" s="111"/>
      <c r="E35" s="111"/>
      <c r="F35" s="105"/>
      <c r="G35" s="106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14.5" x14ac:dyDescent="0.4">
      <c r="A36" s="3" t="s">
        <v>105</v>
      </c>
      <c r="B36" s="111"/>
      <c r="C36" s="111"/>
      <c r="D36" s="111"/>
      <c r="E36" s="111"/>
      <c r="F36" s="105"/>
      <c r="G36" s="106"/>
      <c r="H36" s="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ht="14.5" x14ac:dyDescent="0.4">
      <c r="A37" s="107" t="s">
        <v>106</v>
      </c>
      <c r="B37" s="111"/>
      <c r="C37" s="111"/>
      <c r="D37" s="111"/>
      <c r="E37" s="111"/>
      <c r="F37" s="105"/>
      <c r="G37" s="106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14.5" x14ac:dyDescent="0.4">
      <c r="A38" s="107" t="s">
        <v>107</v>
      </c>
      <c r="B38" s="108"/>
      <c r="C38" s="108"/>
      <c r="D38" s="108"/>
      <c r="E38" s="108"/>
      <c r="F38" s="105"/>
      <c r="G38" s="106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14.5" x14ac:dyDescent="0.4">
      <c r="A39" s="110" t="s">
        <v>108</v>
      </c>
      <c r="B39" s="108">
        <f>B24*$B$11*2</f>
        <v>100</v>
      </c>
      <c r="C39" s="108">
        <f t="shared" ref="C39:E39" si="3">C24*$B$11*12</f>
        <v>7200</v>
      </c>
      <c r="D39" s="108">
        <f t="shared" si="3"/>
        <v>7200</v>
      </c>
      <c r="E39" s="108">
        <f t="shared" si="3"/>
        <v>9600</v>
      </c>
      <c r="F39" s="105">
        <f t="shared" ref="F39:F42" si="4">SUM(B39:E39)</f>
        <v>24100</v>
      </c>
      <c r="G39" s="106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4.5" x14ac:dyDescent="0.4">
      <c r="A40" s="110" t="s">
        <v>109</v>
      </c>
      <c r="B40" s="108">
        <f t="shared" ref="B40:E40" si="5">(B39+B47)*$B$6</f>
        <v>30</v>
      </c>
      <c r="C40" s="108">
        <f t="shared" si="5"/>
        <v>2335</v>
      </c>
      <c r="D40" s="108">
        <f t="shared" si="5"/>
        <v>2685</v>
      </c>
      <c r="E40" s="108">
        <f t="shared" si="5"/>
        <v>3754.9999999999995</v>
      </c>
      <c r="F40" s="105">
        <f t="shared" si="4"/>
        <v>8805</v>
      </c>
      <c r="G40" s="106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4.5" x14ac:dyDescent="0.4">
      <c r="A41" s="110" t="s">
        <v>110</v>
      </c>
      <c r="B41" s="113">
        <f t="shared" ref="B41:E41" si="6">B40*$B$7</f>
        <v>15</v>
      </c>
      <c r="C41" s="108">
        <f t="shared" si="6"/>
        <v>1167.5</v>
      </c>
      <c r="D41" s="108">
        <f t="shared" si="6"/>
        <v>1342.5</v>
      </c>
      <c r="E41" s="108">
        <f t="shared" si="6"/>
        <v>1877.4999999999998</v>
      </c>
      <c r="F41" s="114">
        <f t="shared" si="4"/>
        <v>4402.5</v>
      </c>
      <c r="G41" s="106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4.5" x14ac:dyDescent="0.4">
      <c r="A42" s="107" t="s">
        <v>111</v>
      </c>
      <c r="B42" s="115">
        <f t="shared" ref="B42:E42" si="7">B41*$B$8</f>
        <v>6</v>
      </c>
      <c r="C42" s="115">
        <f t="shared" si="7"/>
        <v>467</v>
      </c>
      <c r="D42" s="115">
        <f t="shared" si="7"/>
        <v>537</v>
      </c>
      <c r="E42" s="115">
        <f t="shared" si="7"/>
        <v>751</v>
      </c>
      <c r="F42" s="114">
        <f t="shared" si="4"/>
        <v>1761</v>
      </c>
      <c r="G42" s="116"/>
      <c r="H42" s="117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</row>
    <row r="43" spans="1:29" ht="13.5" x14ac:dyDescent="0.35">
      <c r="A43" s="119" t="s">
        <v>112</v>
      </c>
      <c r="B43" s="120">
        <f t="shared" ref="B43:E43" si="8">B42/12</f>
        <v>0.5</v>
      </c>
      <c r="C43" s="120">
        <f t="shared" si="8"/>
        <v>38.916666666666664</v>
      </c>
      <c r="D43" s="120">
        <f t="shared" si="8"/>
        <v>44.75</v>
      </c>
      <c r="E43" s="120">
        <f t="shared" si="8"/>
        <v>62.583333333333336</v>
      </c>
      <c r="F43" s="105"/>
      <c r="G43" s="109" t="s">
        <v>113</v>
      </c>
      <c r="H43" s="7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ht="13.5" x14ac:dyDescent="0.35">
      <c r="A44" s="119" t="s">
        <v>114</v>
      </c>
      <c r="B44" s="120">
        <f t="shared" ref="B44:E44" si="9">B42/12/(B26+B25)</f>
        <v>2</v>
      </c>
      <c r="C44" s="120">
        <f t="shared" si="9"/>
        <v>15.566666666666666</v>
      </c>
      <c r="D44" s="120">
        <f t="shared" si="9"/>
        <v>14.916666666666666</v>
      </c>
      <c r="E44" s="120">
        <f t="shared" si="9"/>
        <v>15.645833333333334</v>
      </c>
      <c r="F44" s="105"/>
      <c r="G44" s="106"/>
      <c r="H44" s="7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14.5" x14ac:dyDescent="0.4">
      <c r="A45" s="107" t="s">
        <v>115</v>
      </c>
      <c r="B45" s="111"/>
      <c r="C45" s="111"/>
      <c r="D45" s="111"/>
      <c r="E45" s="111"/>
      <c r="F45" s="105"/>
      <c r="G45" s="106"/>
      <c r="H45" s="7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4.5" x14ac:dyDescent="0.4">
      <c r="A46" s="110" t="s">
        <v>116</v>
      </c>
      <c r="B46" s="108"/>
      <c r="C46" s="121">
        <v>50</v>
      </c>
      <c r="D46" s="121">
        <v>300</v>
      </c>
      <c r="E46" s="121">
        <v>600</v>
      </c>
      <c r="F46" s="114">
        <f t="shared" ref="F46:F47" si="10">SUM(B46:E46)</f>
        <v>950</v>
      </c>
      <c r="G46" s="109" t="s">
        <v>117</v>
      </c>
      <c r="H46" s="7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4.5" x14ac:dyDescent="0.4">
      <c r="A47" s="110" t="s">
        <v>118</v>
      </c>
      <c r="B47" s="108"/>
      <c r="C47" s="121">
        <f t="shared" ref="C47:E47" si="11">C66*70%/$B$15</f>
        <v>583.33333333333337</v>
      </c>
      <c r="D47" s="121">
        <f t="shared" si="11"/>
        <v>1750</v>
      </c>
      <c r="E47" s="121">
        <f t="shared" si="11"/>
        <v>2916.6666666666665</v>
      </c>
      <c r="F47" s="114">
        <f t="shared" si="10"/>
        <v>5250</v>
      </c>
      <c r="G47" s="109" t="s">
        <v>147</v>
      </c>
      <c r="H47" s="7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3" x14ac:dyDescent="0.3">
      <c r="A48" s="128" t="s">
        <v>119</v>
      </c>
      <c r="B48" s="111"/>
      <c r="C48" s="129">
        <v>0.02</v>
      </c>
      <c r="D48" s="129">
        <v>0.03</v>
      </c>
      <c r="E48" s="129">
        <v>0.04</v>
      </c>
      <c r="F48" s="105"/>
      <c r="G48" s="106"/>
      <c r="H48" s="7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ht="14.5" x14ac:dyDescent="0.4">
      <c r="A49" s="107" t="s">
        <v>120</v>
      </c>
      <c r="B49" s="122"/>
      <c r="C49" s="123">
        <f t="shared" ref="C49:E49" si="12">(C47+C46)*C48</f>
        <v>12.666666666666668</v>
      </c>
      <c r="D49" s="123">
        <f t="shared" si="12"/>
        <v>61.5</v>
      </c>
      <c r="E49" s="123">
        <f t="shared" si="12"/>
        <v>140.66666666666666</v>
      </c>
      <c r="F49" s="114">
        <f>SUM(B49:E49)</f>
        <v>214.83333333333331</v>
      </c>
      <c r="G49" s="106"/>
      <c r="H49" s="7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4.5" x14ac:dyDescent="0.4">
      <c r="A50" s="107"/>
      <c r="B50" s="122"/>
      <c r="C50" s="122"/>
      <c r="D50" s="122"/>
      <c r="E50" s="122"/>
      <c r="F50" s="105"/>
      <c r="G50" s="106"/>
      <c r="H50" s="7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4.5" x14ac:dyDescent="0.4">
      <c r="A51" s="107" t="s">
        <v>121</v>
      </c>
      <c r="B51" s="124">
        <f t="shared" ref="B51:E51" si="13">SUM(B52:B54)</f>
        <v>1390000</v>
      </c>
      <c r="C51" s="124">
        <f t="shared" si="13"/>
        <v>49514666.666666672</v>
      </c>
      <c r="D51" s="124">
        <f t="shared" si="13"/>
        <v>109554266.66666667</v>
      </c>
      <c r="E51" s="124">
        <f t="shared" si="13"/>
        <v>198948453.33333331</v>
      </c>
      <c r="F51" s="125">
        <f t="shared" ref="F51:F54" si="14">SUM(B51:E51)</f>
        <v>359407386.66666663</v>
      </c>
      <c r="G51" s="106"/>
      <c r="H51" s="7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4.5" x14ac:dyDescent="0.4">
      <c r="A52" s="110" t="s">
        <v>122</v>
      </c>
      <c r="B52" s="126">
        <f t="shared" ref="B52:E52" si="15">(B42+B49)*$J$5</f>
        <v>600000</v>
      </c>
      <c r="C52" s="126">
        <f t="shared" si="15"/>
        <v>47966666.666666672</v>
      </c>
      <c r="D52" s="126">
        <f t="shared" si="15"/>
        <v>59850000</v>
      </c>
      <c r="E52" s="126">
        <f t="shared" si="15"/>
        <v>89166666.666666657</v>
      </c>
      <c r="F52" s="127">
        <f t="shared" si="14"/>
        <v>197583333.33333331</v>
      </c>
      <c r="G52" s="109" t="s">
        <v>123</v>
      </c>
      <c r="H52" s="7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4.5" x14ac:dyDescent="0.4">
      <c r="A53" s="110" t="s">
        <v>124</v>
      </c>
      <c r="B53" s="126"/>
      <c r="C53" s="126">
        <f>B52</f>
        <v>600000</v>
      </c>
      <c r="D53" s="126">
        <f t="shared" ref="D53:E53" si="16">C52+C53</f>
        <v>48566666.666666672</v>
      </c>
      <c r="E53" s="126">
        <f t="shared" si="16"/>
        <v>108416666.66666667</v>
      </c>
      <c r="F53" s="127">
        <f t="shared" si="14"/>
        <v>157583333.33333334</v>
      </c>
      <c r="G53" s="109" t="s">
        <v>125</v>
      </c>
      <c r="H53" s="7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4.5" x14ac:dyDescent="0.4">
      <c r="A54" s="110" t="s">
        <v>126</v>
      </c>
      <c r="B54" s="126">
        <f>TAM!B5*1000000*0.25</f>
        <v>790000</v>
      </c>
      <c r="C54" s="126">
        <f t="shared" ref="C54:E54" si="17">B54*1.2</f>
        <v>948000</v>
      </c>
      <c r="D54" s="126">
        <f t="shared" si="17"/>
        <v>1137600</v>
      </c>
      <c r="E54" s="126">
        <f t="shared" si="17"/>
        <v>1365120</v>
      </c>
      <c r="F54" s="127">
        <f t="shared" si="14"/>
        <v>4240720</v>
      </c>
      <c r="G54" s="109" t="s">
        <v>127</v>
      </c>
      <c r="H54" s="7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3" x14ac:dyDescent="0.3">
      <c r="A55" s="128" t="s">
        <v>128</v>
      </c>
      <c r="B55" s="111"/>
      <c r="C55" s="129">
        <f t="shared" ref="C55:E55" si="18">(C51-B51)/B51</f>
        <v>34.622062350119904</v>
      </c>
      <c r="D55" s="129">
        <f t="shared" si="18"/>
        <v>1.2125619345109866</v>
      </c>
      <c r="E55" s="129">
        <f t="shared" si="18"/>
        <v>0.81598087766549765</v>
      </c>
      <c r="F55" s="105"/>
      <c r="G55" s="106"/>
      <c r="H55" s="7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4.5" x14ac:dyDescent="0.4">
      <c r="A56" s="107" t="s">
        <v>129</v>
      </c>
      <c r="B56" s="124">
        <f t="shared" ref="B56:E56" si="19">SUM(B57:B59)</f>
        <v>25020</v>
      </c>
      <c r="C56" s="124">
        <f t="shared" si="19"/>
        <v>891264</v>
      </c>
      <c r="D56" s="124">
        <f t="shared" si="19"/>
        <v>1971976.8</v>
      </c>
      <c r="E56" s="124">
        <f t="shared" si="19"/>
        <v>3581072.16</v>
      </c>
      <c r="F56" s="125">
        <f t="shared" ref="F56:F59" si="20">SUM(B56:E56)</f>
        <v>6469332.96</v>
      </c>
      <c r="G56" s="106"/>
      <c r="H56" s="7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4.5" x14ac:dyDescent="0.4">
      <c r="A57" s="130" t="s">
        <v>130</v>
      </c>
      <c r="B57" s="126">
        <f t="shared" ref="B57:E57" si="21">B52*$G$57</f>
        <v>10800</v>
      </c>
      <c r="C57" s="126">
        <f t="shared" si="21"/>
        <v>863400</v>
      </c>
      <c r="D57" s="126">
        <f t="shared" si="21"/>
        <v>1077300</v>
      </c>
      <c r="E57" s="126">
        <f t="shared" si="21"/>
        <v>1604999.9999999998</v>
      </c>
      <c r="F57" s="127">
        <f t="shared" si="20"/>
        <v>3556500</v>
      </c>
      <c r="G57" s="131">
        <v>1.7999999999999999E-2</v>
      </c>
      <c r="H57" s="132" t="s">
        <v>131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4.5" x14ac:dyDescent="0.4">
      <c r="A58" s="130" t="s">
        <v>132</v>
      </c>
      <c r="B58" s="126">
        <f t="shared" ref="B58:E58" si="22">B53*$G$57</f>
        <v>0</v>
      </c>
      <c r="C58" s="126">
        <f t="shared" si="22"/>
        <v>10800</v>
      </c>
      <c r="D58" s="126">
        <f t="shared" si="22"/>
        <v>874200</v>
      </c>
      <c r="E58" s="126">
        <f t="shared" si="22"/>
        <v>1951500</v>
      </c>
      <c r="F58" s="127">
        <f t="shared" si="20"/>
        <v>2836500</v>
      </c>
      <c r="G58" s="133"/>
      <c r="H58" s="7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4.5" x14ac:dyDescent="0.4">
      <c r="A59" s="130" t="s">
        <v>133</v>
      </c>
      <c r="B59" s="126">
        <f t="shared" ref="B59:E59" si="23">B54*$G$57</f>
        <v>14219.999999999998</v>
      </c>
      <c r="C59" s="126">
        <f t="shared" si="23"/>
        <v>17064</v>
      </c>
      <c r="D59" s="126">
        <f t="shared" si="23"/>
        <v>20476.8</v>
      </c>
      <c r="E59" s="126">
        <f t="shared" si="23"/>
        <v>24572.16</v>
      </c>
      <c r="F59" s="127">
        <f t="shared" si="20"/>
        <v>76332.960000000006</v>
      </c>
      <c r="G59" s="133"/>
      <c r="H59" s="7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3" x14ac:dyDescent="0.3">
      <c r="A60" s="128" t="s">
        <v>134</v>
      </c>
      <c r="B60" s="111"/>
      <c r="C60" s="129">
        <f t="shared" ref="C60:E60" si="24">(C56-B56)/B56</f>
        <v>34.622062350119904</v>
      </c>
      <c r="D60" s="129">
        <f t="shared" si="24"/>
        <v>1.2125619345109866</v>
      </c>
      <c r="E60" s="129">
        <f t="shared" si="24"/>
        <v>0.81598087766549787</v>
      </c>
      <c r="F60" s="105"/>
      <c r="G60" s="106"/>
      <c r="H60" s="7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4.5" x14ac:dyDescent="0.4">
      <c r="A61" s="134" t="s">
        <v>135</v>
      </c>
      <c r="B61" s="135">
        <f t="shared" ref="B61:E61" si="25">$G$61*B56</f>
        <v>20016</v>
      </c>
      <c r="C61" s="135">
        <f t="shared" si="25"/>
        <v>713011.20000000007</v>
      </c>
      <c r="D61" s="135">
        <f t="shared" si="25"/>
        <v>1577581.4400000002</v>
      </c>
      <c r="E61" s="135">
        <f t="shared" si="25"/>
        <v>2864857.7280000001</v>
      </c>
      <c r="F61" s="136">
        <f>SUM(B61:E61)</f>
        <v>5175466.3680000007</v>
      </c>
      <c r="G61" s="133">
        <v>0.8</v>
      </c>
      <c r="H61" s="7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2.5" x14ac:dyDescent="0.25">
      <c r="A62" s="8"/>
      <c r="B62" s="8"/>
      <c r="C62" s="8"/>
      <c r="D62" s="8"/>
      <c r="E62" s="8"/>
      <c r="F62" s="75"/>
      <c r="G62" s="106"/>
      <c r="H62" s="7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3" x14ac:dyDescent="0.3">
      <c r="A63" s="128" t="s">
        <v>136</v>
      </c>
      <c r="B63" s="137"/>
      <c r="C63" s="138">
        <f t="shared" ref="C63:E63" si="26">(C64-B64)/B64</f>
        <v>3.8749344677083037</v>
      </c>
      <c r="D63" s="138">
        <f t="shared" si="26"/>
        <v>0.52308226240693712</v>
      </c>
      <c r="E63" s="138">
        <f t="shared" si="26"/>
        <v>0.3982098573538736</v>
      </c>
      <c r="F63" s="75"/>
      <c r="G63" s="106"/>
      <c r="H63" s="7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4.5" x14ac:dyDescent="0.4">
      <c r="A64" s="3" t="s">
        <v>137</v>
      </c>
      <c r="B64" s="139">
        <f t="shared" ref="B64:E64" si="27">B65+B66+B68+B73</f>
        <v>173464.1</v>
      </c>
      <c r="C64" s="139">
        <f t="shared" si="27"/>
        <v>845626.12</v>
      </c>
      <c r="D64" s="139">
        <f t="shared" si="27"/>
        <v>1287958.1440000001</v>
      </c>
      <c r="E64" s="139">
        <f t="shared" si="27"/>
        <v>1800835.7727999999</v>
      </c>
      <c r="F64" s="125">
        <f>SUM(B64:E64)</f>
        <v>4107884.1368</v>
      </c>
      <c r="G64" s="106"/>
      <c r="H64" s="7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 ht="14.5" x14ac:dyDescent="0.4">
      <c r="A65" s="140" t="s">
        <v>138</v>
      </c>
      <c r="B65" s="126">
        <f t="shared" ref="B65:E65" si="28">2000*12</f>
        <v>24000</v>
      </c>
      <c r="C65" s="126">
        <f t="shared" si="28"/>
        <v>24000</v>
      </c>
      <c r="D65" s="126">
        <f t="shared" si="28"/>
        <v>24000</v>
      </c>
      <c r="E65" s="126">
        <f t="shared" si="28"/>
        <v>24000</v>
      </c>
      <c r="F65" s="105"/>
      <c r="G65" s="109" t="s">
        <v>139</v>
      </c>
      <c r="H65" s="7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 ht="14.5" x14ac:dyDescent="0.4">
      <c r="A66" s="141" t="s">
        <v>140</v>
      </c>
      <c r="B66" s="126">
        <v>5000</v>
      </c>
      <c r="C66" s="126">
        <v>100000</v>
      </c>
      <c r="D66" s="126">
        <v>300000</v>
      </c>
      <c r="E66" s="126">
        <v>500000</v>
      </c>
      <c r="F66" s="105"/>
      <c r="G66" s="109" t="s">
        <v>141</v>
      </c>
      <c r="H66" s="7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 ht="14.5" x14ac:dyDescent="0.4">
      <c r="A67" s="142" t="s">
        <v>142</v>
      </c>
      <c r="B67" s="143">
        <f t="shared" ref="B67:E67" si="29">B66/B56</f>
        <v>0.19984012789768185</v>
      </c>
      <c r="C67" s="144">
        <f t="shared" si="29"/>
        <v>0.11220020106276031</v>
      </c>
      <c r="D67" s="144">
        <f t="shared" si="29"/>
        <v>0.1521316072278335</v>
      </c>
      <c r="E67" s="144">
        <f t="shared" si="29"/>
        <v>0.13962298933400996</v>
      </c>
      <c r="F67" s="145"/>
      <c r="G67" s="146"/>
      <c r="H67" s="147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</row>
    <row r="68" spans="1:29" ht="14.5" x14ac:dyDescent="0.4">
      <c r="A68" s="149" t="s">
        <v>143</v>
      </c>
      <c r="B68" s="139">
        <f t="shared" ref="B68:E68" si="30">SUM(B69:B72)</f>
        <v>142462.5</v>
      </c>
      <c r="C68" s="139">
        <f t="shared" si="30"/>
        <v>650325</v>
      </c>
      <c r="D68" s="139">
        <f t="shared" si="30"/>
        <v>806200</v>
      </c>
      <c r="E68" s="139">
        <f t="shared" si="30"/>
        <v>990350</v>
      </c>
      <c r="F68" s="125"/>
      <c r="G68" s="106"/>
      <c r="H68" s="7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 ht="14.5" x14ac:dyDescent="0.4">
      <c r="A69" s="110" t="s">
        <v>94</v>
      </c>
      <c r="B69" s="126">
        <f t="shared" ref="B69:E69" si="31">B24*$R$5+B25*$R$6+B26*$R$7</f>
        <v>41687.5</v>
      </c>
      <c r="C69" s="126">
        <f t="shared" si="31"/>
        <v>366125</v>
      </c>
      <c r="D69" s="126">
        <f t="shared" si="31"/>
        <v>398750</v>
      </c>
      <c r="E69" s="126">
        <f t="shared" si="31"/>
        <v>514750</v>
      </c>
      <c r="F69" s="105"/>
      <c r="G69" s="106"/>
      <c r="H69" s="7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 ht="14.5" x14ac:dyDescent="0.4">
      <c r="A70" s="110" t="s">
        <v>79</v>
      </c>
      <c r="B70" s="126">
        <f t="shared" ref="B70:E70" si="32">B28*$R$8</f>
        <v>13775</v>
      </c>
      <c r="C70" s="126">
        <f t="shared" si="32"/>
        <v>55100</v>
      </c>
      <c r="D70" s="126">
        <f t="shared" si="32"/>
        <v>110200</v>
      </c>
      <c r="E70" s="126">
        <f t="shared" si="32"/>
        <v>110200</v>
      </c>
      <c r="F70" s="105"/>
      <c r="G70" s="106"/>
      <c r="H70" s="7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 ht="14.5" x14ac:dyDescent="0.4">
      <c r="A71" s="75" t="s">
        <v>99</v>
      </c>
      <c r="B71" s="126">
        <f t="shared" ref="B71:E71" si="33">B30*$R$9</f>
        <v>0</v>
      </c>
      <c r="C71" s="126">
        <f t="shared" si="33"/>
        <v>55100</v>
      </c>
      <c r="D71" s="126">
        <f t="shared" si="33"/>
        <v>55100</v>
      </c>
      <c r="E71" s="126">
        <f t="shared" si="33"/>
        <v>55100</v>
      </c>
      <c r="F71" s="105"/>
      <c r="G71" s="106"/>
      <c r="H71" s="7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spans="1:29" ht="14.5" x14ac:dyDescent="0.4">
      <c r="A72" s="75" t="s">
        <v>101</v>
      </c>
      <c r="B72" s="126">
        <f t="shared" ref="B72:E72" si="34">B33*$R$10+B32*$R$11</f>
        <v>87000</v>
      </c>
      <c r="C72" s="126">
        <f t="shared" si="34"/>
        <v>174000</v>
      </c>
      <c r="D72" s="126">
        <f t="shared" si="34"/>
        <v>242150</v>
      </c>
      <c r="E72" s="126">
        <f t="shared" si="34"/>
        <v>310300</v>
      </c>
      <c r="F72" s="105"/>
      <c r="G72" s="106"/>
      <c r="H72" s="7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spans="1:29" ht="14.5" x14ac:dyDescent="0.4">
      <c r="A73" s="107" t="s">
        <v>144</v>
      </c>
      <c r="B73" s="157">
        <f>10%*B61</f>
        <v>2001.6000000000001</v>
      </c>
      <c r="C73" s="157">
        <f t="shared" ref="C73:E73" si="35">10%*C61</f>
        <v>71301.12000000001</v>
      </c>
      <c r="D73" s="157">
        <f t="shared" si="35"/>
        <v>157758.14400000003</v>
      </c>
      <c r="E73" s="157">
        <f t="shared" si="35"/>
        <v>286485.77280000004</v>
      </c>
      <c r="F73" s="125"/>
      <c r="G73" s="106"/>
      <c r="H73" s="7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</row>
    <row r="74" spans="1:29" ht="14.5" x14ac:dyDescent="0.4">
      <c r="A74" s="3" t="s">
        <v>145</v>
      </c>
      <c r="B74" s="135">
        <f>B61-B64</f>
        <v>-153448.1</v>
      </c>
      <c r="C74" s="135">
        <f t="shared" ref="C74:E74" si="36">C61-C64</f>
        <v>-132614.91999999993</v>
      </c>
      <c r="D74" s="135">
        <f t="shared" si="36"/>
        <v>289623.29600000009</v>
      </c>
      <c r="E74" s="135">
        <f t="shared" si="36"/>
        <v>1064021.9552000002</v>
      </c>
      <c r="F74" s="136">
        <f>SUM(B74:E74)</f>
        <v>1067582.2312000003</v>
      </c>
      <c r="G74" s="106"/>
      <c r="H74" s="7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1:29" ht="14.5" x14ac:dyDescent="0.4">
      <c r="A75" s="150" t="s">
        <v>146</v>
      </c>
      <c r="B75" s="144">
        <f t="shared" ref="B75:E75" si="37">B74/B56</f>
        <v>-6.1330175859312552</v>
      </c>
      <c r="C75" s="144">
        <f t="shared" si="37"/>
        <v>-0.14879420687921865</v>
      </c>
      <c r="D75" s="144">
        <f t="shared" si="37"/>
        <v>0.14686952503700859</v>
      </c>
      <c r="E75" s="144">
        <f t="shared" si="37"/>
        <v>0.2971238522040841</v>
      </c>
      <c r="F75" s="159"/>
      <c r="G75" s="151"/>
      <c r="H75" s="7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29" ht="12.5" x14ac:dyDescent="0.25">
      <c r="A76" s="75"/>
      <c r="B76" s="137"/>
      <c r="C76" s="137"/>
      <c r="D76" s="137"/>
      <c r="E76" s="137"/>
      <c r="F76" s="159"/>
      <c r="G76" s="82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1:29" ht="15.75" customHeight="1" x14ac:dyDescent="0.25">
      <c r="E77" s="158"/>
      <c r="F77" s="158"/>
    </row>
    <row r="78" spans="1:29" ht="15.75" customHeight="1" x14ac:dyDescent="0.25">
      <c r="F78" s="158"/>
    </row>
  </sheetData>
  <hyperlinks>
    <hyperlink ref="H57" r:id="rId1" xr:uid="{00000000-0004-0000-0100-000000000000}"/>
  </hyperlinks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969"/>
  <sheetViews>
    <sheetView topLeftCell="A20" workbookViewId="0"/>
  </sheetViews>
  <sheetFormatPr baseColWidth="10" defaultColWidth="12.6328125" defaultRowHeight="15.75" customHeight="1" x14ac:dyDescent="0.25"/>
  <cols>
    <col min="1" max="1" width="43.08984375" customWidth="1"/>
    <col min="2" max="2" width="22.08984375" customWidth="1"/>
    <col min="3" max="8" width="15" customWidth="1"/>
    <col min="9" max="9" width="18.36328125" customWidth="1"/>
    <col min="10" max="12" width="18.90625" customWidth="1"/>
  </cols>
  <sheetData>
    <row r="1" spans="1:12" ht="34.5" x14ac:dyDescent="0.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6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5" customHeight="1" x14ac:dyDescent="0.4">
      <c r="A3" s="3" t="s">
        <v>1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2.5" x14ac:dyDescent="0.25">
      <c r="A4" s="5" t="s">
        <v>2</v>
      </c>
      <c r="B4" s="6">
        <v>316</v>
      </c>
      <c r="C4" s="7"/>
      <c r="D4" s="8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9" t="s">
        <v>3</v>
      </c>
      <c r="B5" s="10">
        <f>B4*C5</f>
        <v>3.16</v>
      </c>
      <c r="C5" s="11" t="s">
        <v>4</v>
      </c>
      <c r="D5" s="12" t="s">
        <v>5</v>
      </c>
      <c r="E5" s="2"/>
      <c r="F5" s="2"/>
      <c r="G5" s="2"/>
      <c r="H5" s="2"/>
      <c r="I5" s="2"/>
      <c r="J5" s="2"/>
      <c r="K5" s="2"/>
      <c r="L5" s="2"/>
    </row>
    <row r="6" spans="1:12" ht="12.5" x14ac:dyDescent="0.25">
      <c r="A6" s="9" t="s">
        <v>6</v>
      </c>
      <c r="B6" s="13">
        <v>1.6E-2</v>
      </c>
      <c r="C6" s="7"/>
      <c r="D6" s="14" t="s">
        <v>7</v>
      </c>
      <c r="E6" s="2"/>
      <c r="F6" s="2"/>
      <c r="G6" s="2"/>
      <c r="H6" s="2"/>
      <c r="I6" s="2"/>
      <c r="J6" s="2"/>
      <c r="K6" s="2"/>
      <c r="L6" s="2"/>
    </row>
    <row r="7" spans="1:12" ht="12.5" x14ac:dyDescent="0.25">
      <c r="A7" s="15" t="s">
        <v>8</v>
      </c>
      <c r="B7" s="16">
        <f>B5*1000000*B6</f>
        <v>50560</v>
      </c>
      <c r="C7" s="7"/>
      <c r="D7" s="8"/>
      <c r="E7" s="2"/>
      <c r="F7" s="2"/>
      <c r="G7" s="2"/>
      <c r="H7" s="2"/>
      <c r="I7" s="2"/>
      <c r="J7" s="2"/>
      <c r="K7" s="2"/>
      <c r="L7" s="2"/>
    </row>
    <row r="8" spans="1:12" ht="12.5" x14ac:dyDescent="0.25">
      <c r="A8" s="17"/>
      <c r="B8" s="17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2.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4.5" x14ac:dyDescent="0.4">
      <c r="A10" s="3" t="s">
        <v>9</v>
      </c>
      <c r="B10" s="2"/>
      <c r="C10" s="2"/>
      <c r="D10" s="2"/>
      <c r="E10" s="2"/>
      <c r="G10" s="2"/>
      <c r="H10" s="2"/>
      <c r="I10" s="2"/>
      <c r="J10" s="2"/>
      <c r="K10" s="2"/>
      <c r="L10" s="2"/>
    </row>
    <row r="11" spans="1:12" ht="12.5" x14ac:dyDescent="0.25">
      <c r="A11" s="12"/>
      <c r="B11" s="2"/>
      <c r="C11" s="2"/>
      <c r="D11" s="2"/>
      <c r="E11" s="2"/>
      <c r="F11" s="18"/>
      <c r="G11" s="2"/>
      <c r="H11" s="2"/>
      <c r="I11" s="2"/>
      <c r="J11" s="2"/>
      <c r="K11" s="2"/>
      <c r="L11" s="2"/>
    </row>
    <row r="12" spans="1:12" ht="13" x14ac:dyDescent="0.3">
      <c r="A12" s="19"/>
      <c r="B12" s="20" t="s">
        <v>10</v>
      </c>
      <c r="C12" s="2"/>
      <c r="D12" s="2"/>
      <c r="E12" s="2"/>
      <c r="F12" s="18"/>
      <c r="G12" s="2"/>
      <c r="H12" s="2"/>
      <c r="I12" s="2"/>
      <c r="J12" s="2"/>
      <c r="K12" s="2"/>
      <c r="L12" s="2"/>
    </row>
    <row r="13" spans="1:12" ht="13" x14ac:dyDescent="0.3">
      <c r="A13" s="21" t="s">
        <v>11</v>
      </c>
      <c r="B13" s="22" t="s">
        <v>12</v>
      </c>
      <c r="C13" s="22" t="s">
        <v>13</v>
      </c>
      <c r="D13" s="23" t="s">
        <v>14</v>
      </c>
      <c r="E13" s="2"/>
      <c r="F13" s="18"/>
      <c r="G13" s="2"/>
      <c r="H13" s="2"/>
      <c r="I13" s="2"/>
      <c r="J13" s="2"/>
      <c r="K13" s="2"/>
      <c r="L13" s="2"/>
    </row>
    <row r="14" spans="1:12" ht="12.5" x14ac:dyDescent="0.25">
      <c r="A14" s="24" t="s">
        <v>15</v>
      </c>
      <c r="B14" s="25">
        <v>145707</v>
      </c>
      <c r="C14" s="26">
        <v>4296.666666666667</v>
      </c>
      <c r="D14" s="27">
        <f t="shared" ref="D14:D25" si="0">C14/B14</f>
        <v>2.9488402524701401E-2</v>
      </c>
      <c r="E14" s="2"/>
      <c r="F14" s="18"/>
      <c r="G14" s="2"/>
      <c r="H14" s="2"/>
      <c r="I14" s="2"/>
      <c r="J14" s="2"/>
      <c r="K14" s="2"/>
      <c r="L14" s="2"/>
    </row>
    <row r="15" spans="1:12" ht="12.5" x14ac:dyDescent="0.25">
      <c r="A15" s="24" t="s">
        <v>16</v>
      </c>
      <c r="B15" s="25">
        <v>139618.5</v>
      </c>
      <c r="C15" s="26">
        <v>3698.5</v>
      </c>
      <c r="D15" s="27">
        <f t="shared" si="0"/>
        <v>2.6490042508693332E-2</v>
      </c>
      <c r="E15" s="2"/>
      <c r="F15" s="18"/>
      <c r="G15" s="2"/>
      <c r="H15" s="2"/>
      <c r="I15" s="2"/>
      <c r="J15" s="2"/>
      <c r="K15" s="2"/>
      <c r="L15" s="2"/>
    </row>
    <row r="16" spans="1:12" ht="12.5" x14ac:dyDescent="0.25">
      <c r="A16" s="24" t="s">
        <v>17</v>
      </c>
      <c r="B16" s="25">
        <v>229006.66666666666</v>
      </c>
      <c r="C16" s="26">
        <v>2034.6666666666667</v>
      </c>
      <c r="D16" s="27">
        <f t="shared" si="0"/>
        <v>8.8847486244941938E-3</v>
      </c>
      <c r="E16" s="2"/>
      <c r="F16" s="18"/>
      <c r="G16" s="2"/>
      <c r="H16" s="2"/>
      <c r="I16" s="2"/>
      <c r="J16" s="2"/>
      <c r="K16" s="2"/>
      <c r="L16" s="2"/>
    </row>
    <row r="17" spans="1:12" ht="12.5" x14ac:dyDescent="0.25">
      <c r="A17" s="24" t="s">
        <v>18</v>
      </c>
      <c r="B17" s="25">
        <v>201069.6</v>
      </c>
      <c r="C17" s="26">
        <v>2236.8000000000002</v>
      </c>
      <c r="D17" s="27">
        <f t="shared" si="0"/>
        <v>1.1124506141157092E-2</v>
      </c>
      <c r="E17" s="2"/>
      <c r="F17" s="18"/>
      <c r="G17" s="2"/>
      <c r="H17" s="2"/>
      <c r="I17" s="2"/>
      <c r="J17" s="2"/>
      <c r="K17" s="2"/>
      <c r="L17" s="2"/>
    </row>
    <row r="18" spans="1:12" ht="12.5" x14ac:dyDescent="0.25">
      <c r="A18" s="24" t="s">
        <v>19</v>
      </c>
      <c r="B18" s="25">
        <v>127504</v>
      </c>
      <c r="C18" s="26">
        <v>2383</v>
      </c>
      <c r="D18" s="27">
        <f t="shared" si="0"/>
        <v>1.8689609737733717E-2</v>
      </c>
      <c r="E18" s="2"/>
      <c r="F18" s="18"/>
      <c r="G18" s="2"/>
      <c r="H18" s="2"/>
      <c r="I18" s="2"/>
      <c r="J18" s="2"/>
      <c r="K18" s="2"/>
      <c r="L18" s="2"/>
    </row>
    <row r="19" spans="1:12" ht="12.5" x14ac:dyDescent="0.25">
      <c r="A19" s="24" t="s">
        <v>20</v>
      </c>
      <c r="B19" s="25">
        <v>133583.125</v>
      </c>
      <c r="C19" s="26">
        <v>920.125</v>
      </c>
      <c r="D19" s="27">
        <f t="shared" si="0"/>
        <v>6.8880332003013103E-3</v>
      </c>
      <c r="E19" s="2"/>
      <c r="F19" s="18"/>
      <c r="G19" s="2"/>
      <c r="H19" s="2"/>
      <c r="I19" s="2"/>
      <c r="J19" s="2"/>
      <c r="K19" s="2"/>
      <c r="L19" s="2"/>
    </row>
    <row r="20" spans="1:12" ht="12.5" x14ac:dyDescent="0.25">
      <c r="A20" s="24" t="s">
        <v>21</v>
      </c>
      <c r="B20" s="25">
        <v>187982.5</v>
      </c>
      <c r="C20" s="26">
        <v>3952.5</v>
      </c>
      <c r="D20" s="27">
        <f t="shared" si="0"/>
        <v>2.1025893367733698E-2</v>
      </c>
      <c r="E20" s="2"/>
      <c r="F20" s="18"/>
      <c r="G20" s="2"/>
      <c r="H20" s="2"/>
      <c r="I20" s="2"/>
      <c r="J20" s="2"/>
      <c r="K20" s="2"/>
      <c r="L20" s="2"/>
    </row>
    <row r="21" spans="1:12" ht="12.5" x14ac:dyDescent="0.25">
      <c r="A21" s="24" t="s">
        <v>22</v>
      </c>
      <c r="B21" s="25">
        <v>94675</v>
      </c>
      <c r="C21" s="26">
        <v>773.5</v>
      </c>
      <c r="D21" s="27">
        <f t="shared" si="0"/>
        <v>8.1700554528650639E-3</v>
      </c>
      <c r="E21" s="2"/>
      <c r="F21" s="18"/>
      <c r="G21" s="2"/>
      <c r="H21" s="2"/>
      <c r="I21" s="2"/>
      <c r="J21" s="2"/>
      <c r="K21" s="2"/>
      <c r="L21" s="2"/>
    </row>
    <row r="22" spans="1:12" ht="12.5" x14ac:dyDescent="0.25">
      <c r="A22" s="24" t="s">
        <v>23</v>
      </c>
      <c r="B22" s="25">
        <v>97540</v>
      </c>
      <c r="C22" s="26">
        <v>2277</v>
      </c>
      <c r="D22" s="27">
        <f t="shared" si="0"/>
        <v>2.3344269017838835E-2</v>
      </c>
      <c r="E22" s="2"/>
      <c r="F22" s="18"/>
      <c r="G22" s="2"/>
      <c r="H22" s="2"/>
      <c r="I22" s="2"/>
      <c r="J22" s="2"/>
      <c r="K22" s="2"/>
      <c r="L22" s="2"/>
    </row>
    <row r="23" spans="1:12" ht="12.5" x14ac:dyDescent="0.25">
      <c r="A23" s="24" t="s">
        <v>24</v>
      </c>
      <c r="B23" s="25">
        <v>118154.75</v>
      </c>
      <c r="C23" s="26">
        <v>3024.5</v>
      </c>
      <c r="D23" s="27">
        <f t="shared" si="0"/>
        <v>2.5597785954436871E-2</v>
      </c>
      <c r="E23" s="2"/>
      <c r="F23" s="18"/>
      <c r="G23" s="2"/>
      <c r="H23" s="2"/>
      <c r="I23" s="2"/>
      <c r="J23" s="2"/>
      <c r="K23" s="2"/>
      <c r="L23" s="2"/>
    </row>
    <row r="24" spans="1:12" ht="12.5" x14ac:dyDescent="0.25">
      <c r="A24" s="24" t="s">
        <v>25</v>
      </c>
      <c r="B24" s="25">
        <v>132610.42857142858</v>
      </c>
      <c r="C24" s="26">
        <v>1980.5714285714287</v>
      </c>
      <c r="D24" s="27">
        <f t="shared" si="0"/>
        <v>1.4935261501734942E-2</v>
      </c>
      <c r="E24" s="2"/>
      <c r="F24" s="18"/>
      <c r="G24" s="2"/>
      <c r="H24" s="2"/>
      <c r="I24" s="2"/>
      <c r="J24" s="2"/>
      <c r="K24" s="2"/>
      <c r="L24" s="2"/>
    </row>
    <row r="25" spans="1:12" ht="13" x14ac:dyDescent="0.3">
      <c r="A25" s="28" t="s">
        <v>26</v>
      </c>
      <c r="B25" s="29">
        <v>148342.51999999999</v>
      </c>
      <c r="C25" s="30">
        <v>2731.4</v>
      </c>
      <c r="D25" s="31">
        <f t="shared" si="0"/>
        <v>1.8412792232463088E-2</v>
      </c>
      <c r="E25" s="2"/>
      <c r="F25" s="18"/>
      <c r="G25" s="2"/>
      <c r="H25" s="2"/>
      <c r="I25" s="2"/>
      <c r="J25" s="2"/>
      <c r="K25" s="2"/>
      <c r="L25" s="2"/>
    </row>
    <row r="26" spans="1:12" ht="12.5" x14ac:dyDescent="0.25">
      <c r="A26" s="17"/>
      <c r="B26" s="17"/>
      <c r="C26" s="17"/>
      <c r="D26" s="17"/>
      <c r="E26" s="2"/>
      <c r="F26" s="2"/>
      <c r="G26" s="2"/>
      <c r="H26" s="2"/>
      <c r="I26" s="2"/>
      <c r="J26" s="2"/>
      <c r="K26" s="2"/>
      <c r="L26" s="2"/>
    </row>
    <row r="27" spans="1:12" ht="12.5" x14ac:dyDescent="0.25">
      <c r="B27" s="4"/>
      <c r="C27" s="4"/>
      <c r="D27" s="4"/>
      <c r="E27" s="4"/>
      <c r="F27" s="4"/>
      <c r="G27" s="4"/>
      <c r="H27" s="4"/>
      <c r="I27" s="2"/>
      <c r="J27" s="2"/>
      <c r="K27" s="2"/>
      <c r="L27" s="2"/>
    </row>
    <row r="28" spans="1:12" ht="14.5" x14ac:dyDescent="0.4">
      <c r="A28" s="20" t="s">
        <v>27</v>
      </c>
      <c r="B28" s="152" t="s">
        <v>28</v>
      </c>
      <c r="C28" s="153"/>
      <c r="D28" s="153"/>
      <c r="E28" s="153"/>
      <c r="F28" s="153"/>
      <c r="G28" s="153"/>
      <c r="H28" s="153"/>
      <c r="I28" s="154"/>
      <c r="J28" s="155" t="s">
        <v>29</v>
      </c>
      <c r="K28" s="156"/>
      <c r="L28" s="156"/>
    </row>
    <row r="29" spans="1:12" ht="43.5" x14ac:dyDescent="0.3">
      <c r="A29" s="32" t="s">
        <v>11</v>
      </c>
      <c r="B29" s="33" t="s">
        <v>30</v>
      </c>
      <c r="C29" s="33" t="s">
        <v>31</v>
      </c>
      <c r="D29" s="33" t="s">
        <v>32</v>
      </c>
      <c r="E29" s="33" t="s">
        <v>33</v>
      </c>
      <c r="F29" s="33" t="s">
        <v>34</v>
      </c>
      <c r="G29" s="33" t="s">
        <v>35</v>
      </c>
      <c r="H29" s="33" t="s">
        <v>36</v>
      </c>
      <c r="I29" s="34" t="s">
        <v>37</v>
      </c>
      <c r="J29" s="35" t="s">
        <v>38</v>
      </c>
      <c r="K29" s="34" t="s">
        <v>39</v>
      </c>
      <c r="L29" s="36" t="s">
        <v>40</v>
      </c>
    </row>
    <row r="30" spans="1:12" ht="12.5" x14ac:dyDescent="0.25">
      <c r="A30" s="37" t="s">
        <v>41</v>
      </c>
      <c r="B30" s="38">
        <v>162300</v>
      </c>
      <c r="C30" s="38">
        <v>38952</v>
      </c>
      <c r="D30" s="38">
        <v>66543</v>
      </c>
      <c r="E30" s="38">
        <v>34083</v>
      </c>
      <c r="F30" s="39">
        <v>9738</v>
      </c>
      <c r="G30" s="39">
        <v>4869</v>
      </c>
      <c r="H30" s="40">
        <v>8115</v>
      </c>
      <c r="I30" s="38">
        <f t="shared" ref="I30:I37" si="1">SUM(F30:H30)</f>
        <v>22722</v>
      </c>
      <c r="J30" s="38">
        <f>I30*$B$52</f>
        <v>7276.7666474764928</v>
      </c>
      <c r="K30" s="41">
        <f t="shared" ref="K30:K36" si="2">J30*100000</f>
        <v>727676664.74764931</v>
      </c>
      <c r="L30" s="42">
        <f t="shared" ref="L30:L37" si="3">K30*$B$6</f>
        <v>11642826.635962389</v>
      </c>
    </row>
    <row r="31" spans="1:12" ht="12.5" x14ac:dyDescent="0.25">
      <c r="A31" s="37" t="s">
        <v>42</v>
      </c>
      <c r="B31" s="43">
        <v>173800</v>
      </c>
      <c r="C31" s="38">
        <v>71837.3332754</v>
      </c>
      <c r="D31" s="38">
        <v>78789.3332754</v>
      </c>
      <c r="E31" s="38">
        <v>17959.332753999999</v>
      </c>
      <c r="F31" s="39">
        <v>3476</v>
      </c>
      <c r="G31" s="39">
        <v>1738</v>
      </c>
      <c r="H31" s="40">
        <v>0</v>
      </c>
      <c r="I31" s="38">
        <f t="shared" si="1"/>
        <v>5214</v>
      </c>
      <c r="J31" s="38">
        <f>I31*$B$50</f>
        <v>1131.1363636363637</v>
      </c>
      <c r="K31" s="41">
        <f t="shared" si="2"/>
        <v>113113636.36363637</v>
      </c>
      <c r="L31" s="42">
        <f t="shared" si="3"/>
        <v>1809818.1818181821</v>
      </c>
    </row>
    <row r="32" spans="1:12" ht="12.5" x14ac:dyDescent="0.25">
      <c r="A32" s="37" t="s">
        <v>43</v>
      </c>
      <c r="B32" s="38">
        <v>86500</v>
      </c>
      <c r="C32" s="38">
        <v>28112.5</v>
      </c>
      <c r="D32" s="38">
        <v>41087.5</v>
      </c>
      <c r="E32" s="38">
        <v>8650</v>
      </c>
      <c r="F32" s="39">
        <v>2595</v>
      </c>
      <c r="G32" s="39">
        <v>2595</v>
      </c>
      <c r="H32" s="40">
        <v>3460</v>
      </c>
      <c r="I32" s="38">
        <f t="shared" si="1"/>
        <v>8650</v>
      </c>
      <c r="J32" s="38">
        <f>I32*$B$48</f>
        <v>4028.2124878565755</v>
      </c>
      <c r="K32" s="41">
        <f t="shared" si="2"/>
        <v>402821248.78565753</v>
      </c>
      <c r="L32" s="42">
        <f t="shared" si="3"/>
        <v>6445139.9805705203</v>
      </c>
    </row>
    <row r="33" spans="1:12" ht="12.5" x14ac:dyDescent="0.25">
      <c r="A33" s="37" t="s">
        <v>25</v>
      </c>
      <c r="B33" s="43">
        <v>330200</v>
      </c>
      <c r="C33" s="38">
        <v>59436</v>
      </c>
      <c r="D33" s="38">
        <v>166751</v>
      </c>
      <c r="E33" s="38">
        <v>84201</v>
      </c>
      <c r="F33" s="39">
        <v>16510</v>
      </c>
      <c r="G33" s="39">
        <v>3302</v>
      </c>
      <c r="H33" s="40">
        <v>0</v>
      </c>
      <c r="I33" s="38">
        <f t="shared" si="1"/>
        <v>19812</v>
      </c>
      <c r="J33" s="38">
        <f>I33*$B$53</f>
        <v>10447.084033613446</v>
      </c>
      <c r="K33" s="41">
        <f t="shared" si="2"/>
        <v>1044708403.3613446</v>
      </c>
      <c r="L33" s="42">
        <f t="shared" si="3"/>
        <v>16715334.453781513</v>
      </c>
    </row>
    <row r="34" spans="1:12" ht="12.5" x14ac:dyDescent="0.25">
      <c r="A34" s="37" t="s">
        <v>44</v>
      </c>
      <c r="B34" s="38">
        <v>287700</v>
      </c>
      <c r="C34" s="38">
        <v>97818</v>
      </c>
      <c r="D34" s="38">
        <v>138096</v>
      </c>
      <c r="E34" s="38">
        <v>37401</v>
      </c>
      <c r="F34" s="39">
        <v>8631</v>
      </c>
      <c r="G34" s="39">
        <v>2877</v>
      </c>
      <c r="H34" s="40">
        <v>2877</v>
      </c>
      <c r="I34" s="38">
        <f t="shared" si="1"/>
        <v>14385</v>
      </c>
      <c r="J34" s="38">
        <f>I34*$B$45</f>
        <v>8776.8827930174557</v>
      </c>
      <c r="K34" s="41">
        <f t="shared" si="2"/>
        <v>877688279.30174553</v>
      </c>
      <c r="L34" s="42">
        <f t="shared" si="3"/>
        <v>14043012.468827929</v>
      </c>
    </row>
    <row r="35" spans="1:12" ht="12.5" x14ac:dyDescent="0.25">
      <c r="A35" s="37" t="s">
        <v>45</v>
      </c>
      <c r="B35" s="43">
        <v>269000</v>
      </c>
      <c r="C35" s="38">
        <v>112980</v>
      </c>
      <c r="D35" s="38">
        <v>121050</v>
      </c>
      <c r="E35" s="38">
        <v>29590</v>
      </c>
      <c r="F35" s="39">
        <v>5380</v>
      </c>
      <c r="G35" s="39">
        <v>0</v>
      </c>
      <c r="H35" s="40">
        <v>0</v>
      </c>
      <c r="I35" s="38">
        <f t="shared" si="1"/>
        <v>5380</v>
      </c>
      <c r="J35" s="38">
        <f>I35*$B$47</f>
        <v>3444.3586142322097</v>
      </c>
      <c r="K35" s="41">
        <f t="shared" si="2"/>
        <v>344435861.42322099</v>
      </c>
      <c r="L35" s="42">
        <f t="shared" si="3"/>
        <v>5510973.7827715361</v>
      </c>
    </row>
    <row r="36" spans="1:12" ht="12.5" x14ac:dyDescent="0.25">
      <c r="A36" s="44" t="s">
        <v>46</v>
      </c>
      <c r="B36" s="45">
        <v>60500</v>
      </c>
      <c r="C36" s="45">
        <v>22082.5</v>
      </c>
      <c r="D36" s="45">
        <v>23897.5</v>
      </c>
      <c r="E36" s="45">
        <v>4235</v>
      </c>
      <c r="F36" s="46">
        <v>6050</v>
      </c>
      <c r="G36" s="46">
        <v>2420</v>
      </c>
      <c r="H36" s="47">
        <v>1815</v>
      </c>
      <c r="I36" s="38">
        <f t="shared" si="1"/>
        <v>10285</v>
      </c>
      <c r="J36" s="38">
        <f>I36*$B$51</f>
        <v>4812.3063380281692</v>
      </c>
      <c r="K36" s="41">
        <f t="shared" si="2"/>
        <v>481230633.80281693</v>
      </c>
      <c r="L36" s="42">
        <f t="shared" si="3"/>
        <v>7699690.1408450706</v>
      </c>
    </row>
    <row r="37" spans="1:12" ht="13" x14ac:dyDescent="0.25">
      <c r="A37" s="48" t="s">
        <v>47</v>
      </c>
      <c r="B37" s="49">
        <v>1370000</v>
      </c>
      <c r="C37" s="49">
        <v>438400</v>
      </c>
      <c r="D37" s="49">
        <v>630200</v>
      </c>
      <c r="E37" s="49">
        <v>219200</v>
      </c>
      <c r="F37" s="50">
        <v>54800</v>
      </c>
      <c r="G37" s="50">
        <v>13700</v>
      </c>
      <c r="H37" s="50">
        <v>13700</v>
      </c>
      <c r="I37" s="49">
        <f t="shared" si="1"/>
        <v>82200</v>
      </c>
      <c r="J37" s="49">
        <f t="shared" ref="J37:K37" si="4">SUM(J30:J36)</f>
        <v>39916.747277860712</v>
      </c>
      <c r="K37" s="51">
        <f t="shared" si="4"/>
        <v>3991674727.7860708</v>
      </c>
      <c r="L37" s="52">
        <f t="shared" si="3"/>
        <v>63866795.644577138</v>
      </c>
    </row>
    <row r="38" spans="1:12" ht="12.5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 ht="12.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2.5" x14ac:dyDescent="0.25">
      <c r="A40" s="53" t="s">
        <v>48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2.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2.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2.5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39" x14ac:dyDescent="0.25">
      <c r="A44" s="54" t="s">
        <v>49</v>
      </c>
      <c r="B44" s="55" t="s">
        <v>50</v>
      </c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3" x14ac:dyDescent="0.25">
      <c r="A45" s="56" t="s">
        <v>51</v>
      </c>
      <c r="B45" s="57">
        <v>0.61014131338320865</v>
      </c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3" x14ac:dyDescent="0.25">
      <c r="A46" s="56" t="s">
        <v>52</v>
      </c>
      <c r="B46" s="57">
        <v>0.41864876696337372</v>
      </c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3" x14ac:dyDescent="0.25">
      <c r="A47" s="56" t="s">
        <v>17</v>
      </c>
      <c r="B47" s="57">
        <v>0.64021535580524347</v>
      </c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3" x14ac:dyDescent="0.25">
      <c r="A48" s="56" t="s">
        <v>18</v>
      </c>
      <c r="B48" s="57">
        <v>0.46568930495451738</v>
      </c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3" x14ac:dyDescent="0.25">
      <c r="A49" s="56" t="s">
        <v>53</v>
      </c>
      <c r="B49" s="57">
        <v>0.69310533018009823</v>
      </c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3" x14ac:dyDescent="0.25">
      <c r="A50" s="56" t="s">
        <v>54</v>
      </c>
      <c r="B50" s="57">
        <v>0.21694214876033058</v>
      </c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3" x14ac:dyDescent="0.25">
      <c r="A51" s="56" t="s">
        <v>55</v>
      </c>
      <c r="B51" s="57">
        <v>0.46789560894780446</v>
      </c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3" x14ac:dyDescent="0.25">
      <c r="A52" s="56" t="s">
        <v>56</v>
      </c>
      <c r="B52" s="57">
        <v>0.32025203096014843</v>
      </c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3" x14ac:dyDescent="0.25">
      <c r="A53" s="56" t="s">
        <v>25</v>
      </c>
      <c r="B53" s="57">
        <v>0.52731092436974791</v>
      </c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3" x14ac:dyDescent="0.25">
      <c r="A54" s="58" t="s">
        <v>26</v>
      </c>
      <c r="B54" s="59">
        <v>0.49555470579800198</v>
      </c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2.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2.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2.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2.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2.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2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2.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2.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2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2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2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2.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2.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2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2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2.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2.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2.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2.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2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2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2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2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2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2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2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2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2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2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2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2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2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2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2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2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2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2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2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2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2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2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2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2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2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2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2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2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2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2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2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2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2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2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2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2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2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2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2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2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2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2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2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2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2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2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2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2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2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2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2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2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2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2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2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2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2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2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2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2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2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ht="12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ht="12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ht="12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2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2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ht="12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ht="12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12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2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2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2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2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2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2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2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2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2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ht="12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2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2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2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2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2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2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2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2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2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2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2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2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2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2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ht="12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2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2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2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ht="12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2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ht="12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ht="12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ht="12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2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2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2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2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2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2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2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2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2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2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2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2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2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2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2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2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ht="12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ht="12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ht="12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ht="12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ht="12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12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ht="12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12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ht="12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ht="12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t="12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t="12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ht="12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ht="12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ht="12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ht="12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ht="12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t="12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ht="12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ht="12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ht="12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12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ht="12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ht="12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ht="12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ht="12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ht="12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ht="12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ht="12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2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2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2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ht="12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ht="12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2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2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ht="12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ht="12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ht="12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ht="12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12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ht="12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ht="12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ht="12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ht="12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ht="12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ht="12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ht="12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ht="12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ht="12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ht="12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ht="12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ht="12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ht="12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ht="12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ht="12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ht="12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ht="12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ht="12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ht="12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ht="12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ht="12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ht="12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ht="12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ht="12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ht="12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ht="12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ht="12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ht="12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ht="12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ht="12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ht="12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ht="12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ht="12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ht="12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ht="12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ht="12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ht="12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ht="12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ht="12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12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12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12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12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12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12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12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12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12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12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12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12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12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12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12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12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12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12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12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12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12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12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12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12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12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12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12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12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12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12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12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12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12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12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12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12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12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12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12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12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12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12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12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12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12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12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12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12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12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12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12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12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12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12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12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12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12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12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12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12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12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12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12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12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12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12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12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12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12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12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12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12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12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12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12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12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12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12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12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12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12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12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12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12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12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12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12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12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12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12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12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12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12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12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12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12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12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12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12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12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12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12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12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12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12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12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12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12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12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12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12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12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12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12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12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12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12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12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12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12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12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12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12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12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12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12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12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12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12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12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12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12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12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12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12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12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12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12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12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12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12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12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ht="12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 ht="12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 ht="12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 ht="12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ht="12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ht="12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 ht="12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 ht="12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 ht="12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 ht="12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 ht="12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 ht="12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 ht="12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 ht="12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 ht="12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 ht="12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ht="12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 ht="12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 ht="12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 ht="12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 ht="12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 ht="12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 ht="12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 ht="12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 ht="12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 ht="12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 ht="12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ht="12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ht="12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 ht="12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 ht="12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 ht="12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 ht="12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ht="12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 ht="12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 ht="12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 ht="12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 ht="12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 ht="12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 ht="12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 ht="12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 ht="12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 ht="12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 ht="12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 ht="12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 ht="12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 ht="12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 ht="12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 ht="12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ht="12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 ht="12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 ht="12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 ht="12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 ht="12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 ht="12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 ht="12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 ht="12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 ht="12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 ht="12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 ht="12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 ht="12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 ht="12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 ht="12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 ht="12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 ht="12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 ht="12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 ht="12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 ht="12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 ht="12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 ht="12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 ht="12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 ht="12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 ht="12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 ht="12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 ht="12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 ht="12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 ht="12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 ht="12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 ht="12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 ht="12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 ht="12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 ht="12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 ht="12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 ht="12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 ht="12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 ht="12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1:12" ht="12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 spans="1:12" ht="12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 spans="1:12" ht="12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 spans="1:12" ht="12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 spans="1:12" ht="12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 spans="1:12" ht="12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 spans="1:12" ht="12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 spans="1:12" ht="12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 spans="1:12" ht="12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 spans="1:12" ht="12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 spans="1:12" ht="12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 spans="1:12" ht="12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 spans="1:12" ht="12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 spans="1:12" ht="12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 spans="1:12" ht="12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 spans="1:12" ht="12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 spans="1:12" ht="12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 spans="1:12" ht="12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1:12" ht="12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 spans="1:12" ht="12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 spans="1:12" ht="12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 spans="1:12" ht="12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 spans="1:12" ht="12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 spans="1:12" ht="12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 spans="1:12" ht="12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 spans="1:12" ht="12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 spans="1:12" ht="12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 spans="1:12" ht="12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 spans="1:12" ht="12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 ht="12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 ht="12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 ht="12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 ht="12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 ht="12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 ht="12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 spans="1:12" ht="12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 spans="1:12" ht="12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12" ht="12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12" ht="12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12" ht="12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12" ht="12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12" ht="12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12" ht="12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12" ht="12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12" ht="12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12" ht="12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 spans="1:12" ht="12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 spans="1:12" ht="12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 spans="1:12" ht="12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 spans="1:12" ht="12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 spans="1:12" ht="12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 spans="1:12" ht="12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 spans="1:12" ht="12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 spans="1:12" ht="12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 spans="1:12" ht="12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 spans="1:12" ht="12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 spans="1:12" ht="12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 spans="1:12" ht="12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 spans="1:12" ht="12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 spans="1:12" ht="12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 spans="1:12" ht="12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 spans="1:12" ht="12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 spans="1:12" ht="12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 spans="1:12" ht="12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 spans="1:12" ht="12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 spans="1:12" ht="12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 spans="1:12" ht="12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 spans="1:12" ht="12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 spans="1:12" ht="12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 spans="1:12" ht="12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 spans="1:12" ht="12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 spans="1:12" ht="12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 spans="1:12" ht="12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 spans="1:12" ht="12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 spans="1:12" ht="12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 spans="1:12" ht="12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 spans="1:12" ht="12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 spans="1:12" ht="12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 spans="1:12" ht="12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 spans="1:12" ht="12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 spans="1:12" ht="12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 spans="1:12" ht="12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 spans="1:12" ht="12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 spans="1:12" ht="12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 spans="1:12" ht="12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 spans="1:12" ht="12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 spans="1:12" ht="12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 spans="1:12" ht="12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 spans="1:12" ht="12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 spans="1:12" ht="12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 spans="1:12" ht="12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 spans="1:12" ht="12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 spans="1:12" ht="12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 spans="1:12" ht="12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 spans="1:12" ht="12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 spans="1:12" ht="12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 spans="1:12" ht="12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 spans="1:12" ht="12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 spans="1:12" ht="12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 spans="1:12" ht="12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 spans="1:12" ht="12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 spans="1:12" ht="12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 spans="1:12" ht="12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 spans="1:12" ht="12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 spans="1:12" ht="12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 spans="1:12" ht="12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 spans="1:12" ht="12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 spans="1:12" ht="12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 spans="1:12" ht="12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 spans="1:12" ht="12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 spans="1:12" ht="12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 spans="1:12" ht="12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 spans="1:12" ht="12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 spans="1:12" ht="12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 spans="1:12" ht="12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 spans="1:12" ht="12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 spans="1:12" ht="12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 spans="1:12" ht="12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 spans="1:12" ht="12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 spans="1:12" ht="12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 spans="1:12" ht="12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 spans="1:12" ht="12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 spans="1:12" ht="12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 spans="1:12" ht="12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 spans="1:12" ht="12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 spans="1:12" ht="12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 spans="1:12" ht="12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 spans="1:12" ht="12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 spans="1:12" ht="12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 spans="1:12" ht="12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 spans="1:12" ht="12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 spans="1:12" ht="12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 spans="1:12" ht="12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 spans="1:12" ht="12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 spans="1:12" ht="12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 spans="1:12" ht="12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 spans="1:12" ht="12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 spans="1:12" ht="12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 spans="1:12" ht="12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 spans="1:12" ht="12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 spans="1:12" ht="12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 spans="1:12" ht="12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 spans="1:12" ht="12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 spans="1:12" ht="12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 spans="1:12" ht="12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 spans="1:12" ht="12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 spans="1:12" ht="12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 spans="1:12" ht="12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 spans="1:12" ht="12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 spans="1:12" ht="12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 spans="1:12" ht="12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 spans="1:12" ht="12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 spans="1:12" ht="12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 spans="1:12" ht="12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 spans="1:12" ht="12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 spans="1:12" ht="12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 spans="1:12" ht="12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 spans="1:12" ht="12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 spans="1:12" ht="12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 spans="1:12" ht="12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 spans="1:12" ht="12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 spans="1:12" ht="12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 spans="1:12" ht="12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 spans="1:12" ht="12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 spans="1:12" ht="12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 spans="1:12" ht="12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 spans="1:12" ht="12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 spans="1:12" ht="12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 spans="1:12" ht="12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 spans="1:12" ht="12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 spans="1:12" ht="12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 spans="1:12" ht="12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 spans="1:12" ht="12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 spans="1:12" ht="12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 spans="1:12" ht="12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 spans="1:12" ht="12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 spans="1:12" ht="12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 spans="1:12" ht="12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 spans="1:12" ht="12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 spans="1:12" ht="12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 spans="1:12" ht="12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 spans="1:12" ht="12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 spans="1:12" ht="12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 spans="1:12" ht="12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 spans="1:12" ht="12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 spans="1:12" ht="12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 spans="1:12" ht="12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 spans="1:12" ht="12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 spans="1:12" ht="12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 spans="1:12" ht="12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 spans="1:12" ht="12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 spans="1:12" ht="12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 spans="1:12" ht="12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 spans="1:12" ht="12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 spans="1:12" ht="12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 spans="1:12" ht="12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 spans="1:12" ht="12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 spans="1:12" ht="12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 spans="1:12" ht="12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 spans="1:12" ht="12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 spans="1:12" ht="12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 spans="1:12" ht="12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 spans="1:12" ht="12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 spans="1:12" ht="12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 spans="1:12" ht="12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 spans="1:12" ht="12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 spans="1:12" ht="12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 spans="1:12" ht="12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 spans="1:12" ht="12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 spans="1:12" ht="12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 spans="1:12" ht="12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 spans="1:12" ht="12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 spans="1:12" ht="12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 spans="1:12" ht="12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 spans="1:12" ht="12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 spans="1:12" ht="12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 spans="1:12" ht="12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 spans="1:12" ht="12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 spans="1:12" ht="12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 spans="1:12" ht="12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 spans="1:12" ht="12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 spans="1:12" ht="12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 spans="1:12" ht="12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 spans="1:12" ht="12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 spans="1:12" ht="12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 spans="1:12" ht="12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 spans="1:12" ht="12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 spans="1:12" ht="12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 spans="1:12" ht="12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 spans="1:12" ht="12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 spans="1:12" ht="12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 spans="1:12" ht="12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 spans="1:12" ht="12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 spans="1:12" ht="12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 spans="1:12" ht="12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 spans="1:12" ht="12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 spans="1:12" ht="12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 spans="1:12" ht="12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 spans="1:12" ht="12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 spans="1:12" ht="12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 spans="1:12" ht="12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 spans="1:12" ht="12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 spans="1:12" ht="12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 spans="1:12" ht="12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 spans="1:12" ht="12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 spans="1:12" ht="12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 spans="1:12" ht="12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 spans="1:12" ht="12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 spans="1:12" ht="12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1:12" ht="12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 spans="1:12" ht="12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 spans="1:12" ht="12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 spans="1:12" ht="12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 spans="1:12" ht="12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 spans="1:12" ht="12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 spans="1:12" ht="12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 spans="1:12" ht="12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 spans="1:12" ht="12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 spans="1:12" ht="12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 spans="1:12" ht="12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 spans="1:12" ht="12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 spans="1:12" ht="12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 spans="1:12" ht="12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 spans="1:12" ht="12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 spans="1:12" ht="12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 spans="1:12" ht="12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 spans="1:12" ht="12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 spans="1:12" ht="12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 spans="1:12" ht="12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 spans="1:12" ht="12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 spans="1:12" ht="12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 spans="1:12" ht="12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 spans="1:12" ht="12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 spans="1:12" ht="12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 spans="1:12" ht="12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 spans="1:12" ht="12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 spans="1:12" ht="12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 spans="1:12" ht="12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 spans="1:12" ht="12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 spans="1:12" ht="12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 spans="1:12" ht="12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 spans="1:12" ht="12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 spans="1:12" ht="12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 spans="1:12" ht="12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 spans="1:12" ht="12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 spans="1:12" ht="12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 spans="1:12" ht="12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 spans="1:12" ht="12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 spans="1:12" ht="12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 spans="1:12" ht="12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 spans="1:12" ht="12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 spans="1:12" ht="12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 spans="1:12" ht="12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 spans="1:12" ht="12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 spans="1:12" ht="12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 spans="1:12" ht="12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 spans="1:12" ht="12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 spans="1:12" ht="12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 spans="1:12" ht="12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 spans="1:12" ht="12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 spans="1:12" ht="12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 spans="1:12" ht="12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 spans="1:12" ht="12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 spans="1:12" ht="12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 spans="1:12" ht="12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 spans="1:12" ht="12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 spans="1:12" ht="12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 spans="1:12" ht="12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1:12" ht="12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 spans="1:12" ht="12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 spans="1:12" ht="12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 spans="1:12" ht="12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 spans="1:12" ht="12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 spans="1:12" ht="12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 spans="1:12" ht="12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 spans="1:12" ht="12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 spans="1:12" ht="12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 spans="1:12" ht="12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 spans="1:12" ht="12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 spans="1:12" ht="12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 spans="1:12" ht="12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 spans="1:12" ht="12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 spans="1:12" ht="12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 spans="1:12" ht="12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 spans="1:12" ht="12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 spans="1:12" ht="12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 spans="1:12" ht="12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 spans="1:12" ht="12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 spans="1:12" ht="12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 spans="1:12" ht="12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 spans="1:12" ht="12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 spans="1:12" ht="12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 spans="1:12" ht="12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 spans="1:12" ht="12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 spans="1:12" ht="12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 spans="1:12" ht="12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 spans="1:12" ht="12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 spans="1:12" ht="12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 spans="1:12" ht="12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 spans="1:12" ht="12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 spans="1:12" ht="12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 spans="1:12" ht="12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 spans="1:12" ht="12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 spans="1:12" ht="12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 spans="1:12" ht="12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 spans="1:12" ht="12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 spans="1:12" ht="12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 spans="1:12" ht="12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 spans="1:12" ht="12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 spans="1:12" ht="12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 spans="1:12" ht="12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 spans="1:12" ht="12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 spans="1:12" ht="12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 spans="1:12" ht="12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 spans="1:12" ht="12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 spans="1:12" ht="12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 spans="1:12" ht="12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 spans="1:12" ht="12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 spans="1:12" ht="12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 spans="1:12" ht="12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 spans="1:12" ht="12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 spans="1:12" ht="12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 spans="1:12" ht="12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 spans="1:12" ht="12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 spans="1:12" ht="12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 spans="1:12" ht="12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 spans="1:12" ht="12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 spans="1:12" ht="12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 spans="1:12" ht="12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 spans="1:12" ht="12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 spans="1:12" ht="12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 spans="1:12" ht="12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 spans="1:12" ht="12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 spans="1:12" ht="12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 spans="1:12" ht="12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 spans="1:12" ht="12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 spans="1:12" ht="12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 spans="1:12" ht="12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 spans="1:12" ht="12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 spans="1:12" ht="12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 spans="1:12" ht="12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 spans="1:12" ht="12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 spans="1:12" ht="12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 spans="1:12" ht="12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 spans="1:12" ht="12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 spans="1:12" ht="12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 spans="1:12" ht="12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 spans="1:12" ht="12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 spans="1:12" ht="12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 spans="1:12" ht="12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 spans="1:12" ht="12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 spans="1:12" ht="12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 spans="1:12" ht="12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 spans="1:12" ht="12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 spans="1:12" ht="12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 spans="1:12" ht="12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 spans="1:12" ht="12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 spans="1:12" ht="12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 spans="1:12" ht="12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 spans="1:12" ht="12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 spans="1:12" ht="12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 spans="1:12" ht="12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 spans="1:12" ht="12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 spans="1:12" ht="12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 spans="1:12" ht="12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 spans="1:12" ht="12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 spans="1:12" ht="12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 spans="1:12" ht="12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 spans="1:12" ht="12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 spans="1:12" ht="12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 spans="1:12" ht="12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 spans="1:12" ht="12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 spans="1:12" ht="12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 spans="1:12" ht="12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 spans="1:12" ht="12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 spans="1:12" ht="12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 spans="1:12" ht="12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 spans="1:12" ht="12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 spans="1:12" ht="12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 spans="1:12" ht="12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 spans="1:12" ht="12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 spans="1:12" ht="12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 spans="1:12" ht="12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 spans="1:12" ht="12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 spans="1:12" ht="12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 spans="1:12" ht="12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 spans="1:12" ht="12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 spans="1:12" ht="12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 spans="1:12" ht="12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 spans="1:12" ht="12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 spans="1:12" ht="12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 spans="1:12" ht="12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 spans="1:12" ht="12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 spans="1:12" ht="12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 spans="1:12" ht="12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 spans="1:12" ht="12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 spans="1:12" ht="12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 spans="1:12" ht="12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 spans="1:12" ht="12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 spans="1:12" ht="12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 spans="1:12" ht="12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 spans="1:12" ht="12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 spans="1:12" ht="12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 spans="1:12" ht="12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 spans="1:12" ht="12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 spans="1:12" ht="12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 spans="1:12" ht="12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 spans="1:12" ht="12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 spans="1:12" ht="12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 spans="1:12" ht="12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 spans="1:12" ht="12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 spans="1:12" ht="12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 spans="1:12" ht="12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 spans="1:12" ht="12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 spans="1:12" ht="12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 spans="1:12" ht="12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 spans="1:12" ht="12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 spans="1:12" ht="12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 spans="1:12" ht="12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 spans="1:12" ht="12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 spans="1:12" ht="12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 spans="1:12" ht="12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 spans="1:12" ht="12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 spans="1:12" ht="12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 spans="1:12" ht="12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 spans="1:12" ht="12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 spans="1:12" ht="12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 spans="1:12" ht="12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 spans="1:12" ht="12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</sheetData>
  <mergeCells count="2">
    <mergeCell ref="B28:I28"/>
    <mergeCell ref="J28:L28"/>
  </mergeCells>
  <dataValidations count="1">
    <dataValidation type="custom" allowBlank="1" showDropDown="1" sqref="B14:D25 B30:I37 K30:L37 B45:B54" xr:uid="{00000000-0002-0000-0000-000000000000}">
      <formula1>AND(ISNUMBER(B14),(NOT(OR(NOT(ISERROR(DATEVALUE(B14))), AND(ISNUMBER(B14), LEFT(CELL("format", B14))="D")))))</formula1>
    </dataValidation>
  </dataValidations>
  <hyperlinks>
    <hyperlink ref="A40" r:id="rId1" xr:uid="{00000000-0004-0000-0000-000000000000}"/>
  </hyperlinks>
  <pageMargins left="0.7" right="0.7" top="0.75" bottom="0.75" header="0.3" footer="0.3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BP 2025-2028</vt:lpstr>
      <vt:lpstr>TAM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Mendoza</dc:creator>
  <cp:lastModifiedBy>Pedro Mendoza</cp:lastModifiedBy>
  <dcterms:created xsi:type="dcterms:W3CDTF">2025-01-23T07:55:17Z</dcterms:created>
  <dcterms:modified xsi:type="dcterms:W3CDTF">2025-01-23T11:05:29Z</dcterms:modified>
</cp:coreProperties>
</file>